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245" yWindow="-15" windowWidth="10290" windowHeight="8160" firstSheet="2" activeTab="14"/>
  </bookViews>
  <sheets>
    <sheet name="master" sheetId="18" r:id="rId1"/>
    <sheet name="2004" sheetId="11" r:id="rId2"/>
    <sheet name="2005" sheetId="5" r:id="rId3"/>
    <sheet name="2006" sheetId="7" r:id="rId4"/>
    <sheet name="2007" sheetId="8" r:id="rId5"/>
    <sheet name="2008" sheetId="9" r:id="rId6"/>
    <sheet name="2009" sheetId="13" r:id="rId7"/>
    <sheet name="2010" sheetId="14" r:id="rId8"/>
    <sheet name="2011" sheetId="16" r:id="rId9"/>
    <sheet name="2012" sheetId="17" r:id="rId10"/>
    <sheet name="2013" sheetId="21" r:id="rId11"/>
    <sheet name="2014" sheetId="22" r:id="rId12"/>
    <sheet name="2015" sheetId="23" r:id="rId13"/>
    <sheet name="2016" sheetId="24" r:id="rId14"/>
    <sheet name="print" sheetId="20" r:id="rId15"/>
    <sheet name="出走順" sheetId="25" r:id="rId16"/>
  </sheets>
  <definedNames>
    <definedName name="_xlnm._FilterDatabase" localSheetId="1" hidden="1">'2004'!$A$1:$AM$58</definedName>
    <definedName name="_xlnm._FilterDatabase" localSheetId="2" hidden="1">'2005'!$A$1:$AG$27</definedName>
    <definedName name="_xlnm._FilterDatabase" localSheetId="3" hidden="1">'2006'!$A$1:$AG$20</definedName>
    <definedName name="_xlnm._FilterDatabase" localSheetId="4" hidden="1">'2007'!$A$1:$AG$22</definedName>
    <definedName name="_xlnm._FilterDatabase" localSheetId="5" hidden="1">'2008'!$A$1:$AK$29</definedName>
    <definedName name="_xlnm._FilterDatabase" localSheetId="6" hidden="1">'2009'!$A$1:$AJ$30</definedName>
    <definedName name="_xlnm._FilterDatabase" localSheetId="7" hidden="1">'2010'!$A$1:$AJ$31</definedName>
    <definedName name="_xlnm._FilterDatabase" localSheetId="8" hidden="1">'2011'!$A$1:$AJ$37</definedName>
    <definedName name="_xlnm._FilterDatabase" localSheetId="9" hidden="1">'2012'!$A$1:$AN$34</definedName>
    <definedName name="_xlnm._FilterDatabase" localSheetId="10" hidden="1">'2013'!$A$1:$AN$35</definedName>
    <definedName name="_xlnm._FilterDatabase" localSheetId="11" hidden="1">'2014'!$A$1:$AN$35</definedName>
    <definedName name="_xlnm._FilterDatabase" localSheetId="12" hidden="1">'2015'!$A$1:$AN$31</definedName>
    <definedName name="_xlnm._FilterDatabase" localSheetId="13" hidden="1">'2016'!$A$1:$AM$31</definedName>
    <definedName name="_xlnm._FilterDatabase" localSheetId="0" hidden="1">master!$A$1:$AN$34</definedName>
    <definedName name="_xlnm._FilterDatabase" localSheetId="15" hidden="1">出走順!$A$1:$AM$29</definedName>
    <definedName name="_xlnm.Print_Area" localSheetId="1">'2004'!$A$1:$AN$36</definedName>
    <definedName name="_xlnm.Print_Area" localSheetId="2">'2005'!$A$1:$AG$27</definedName>
    <definedName name="_xlnm.Print_Area" localSheetId="3">'2006'!$A$1:$AG$23</definedName>
    <definedName name="_xlnm.Print_Area" localSheetId="4">'2007'!$A$1:$AG$26</definedName>
    <definedName name="_xlnm.Print_Area" localSheetId="5">'2008'!$A$1:$AK$22</definedName>
    <definedName name="_xlnm.Print_Area" localSheetId="6">'2009'!$A$1:$AJ$19</definedName>
    <definedName name="_xlnm.Print_Area" localSheetId="7">'2010'!$A$1:$AJ$34</definedName>
    <definedName name="_xlnm.Print_Area" localSheetId="8">'2011'!$A$1:$AJ$40</definedName>
    <definedName name="_xlnm.Print_Area" localSheetId="9">'2012'!$A$1:$AP$38</definedName>
    <definedName name="_xlnm.Print_Area" localSheetId="10">'2013'!$A$1:$AO$50</definedName>
    <definedName name="_xlnm.Print_Area" localSheetId="11">'2014'!$A$1:$AO$53</definedName>
    <definedName name="_xlnm.Print_Area" localSheetId="12">'2015'!$A$1:$AO$49</definedName>
    <definedName name="_xlnm.Print_Area" localSheetId="13">'2016'!$A$1:$AN$52</definedName>
    <definedName name="_xlnm.Print_Area" localSheetId="0">master!$A$1:$AP$38</definedName>
    <definedName name="_xlnm.Print_Area" localSheetId="14">print!$A$1:$AN$46</definedName>
    <definedName name="_xlnm.Print_Area" localSheetId="15">出走順!$A$1:$AO$50</definedName>
    <definedName name="TR1A">'2004'!$M$3:$M$28</definedName>
    <definedName name="TR1B">'2004'!$M$13:$M$28</definedName>
    <definedName name="TR1D">'2004'!$M$29:$M$34</definedName>
    <definedName name="TR1E">'2004'!$M$35:$M$36</definedName>
    <definedName name="TR2A">'2004'!$R$3:$R$12</definedName>
    <definedName name="TR2B">'2004'!$R$13:$R$28</definedName>
    <definedName name="TR2D">'2004'!$R$29:$R$36</definedName>
    <definedName name="TR2E">'2004'!$R$35:$R$36</definedName>
    <definedName name="TTLA">'2004'!$AL$3:$AL$12</definedName>
    <definedName name="TTLB">'2004'!$AL$13:$AL$28</definedName>
    <definedName name="TTLD">'2004'!$AL$29:$AL$34</definedName>
    <definedName name="TTLE">'2004'!$AL$35:$AL$36</definedName>
  </definedNames>
  <calcPr calcId="125725"/>
</workbook>
</file>

<file path=xl/calcChain.xml><?xml version="1.0" encoding="utf-8"?>
<calcChain xmlns="http://schemas.openxmlformats.org/spreadsheetml/2006/main">
  <c r="AN12" i="22"/>
  <c r="AM12"/>
  <c r="BI25" i="24"/>
  <c r="BI23"/>
  <c r="BI19"/>
  <c r="BI18"/>
  <c r="BI11"/>
  <c r="BO25"/>
  <c r="BQ25" s="1"/>
  <c r="BO23"/>
  <c r="BQ23" s="1"/>
  <c r="BO19"/>
  <c r="BQ19" s="1"/>
  <c r="BO18"/>
  <c r="BQ18" s="1"/>
  <c r="BO11"/>
  <c r="BQ11" s="1"/>
  <c r="BA26"/>
  <c r="BC26" s="1"/>
  <c r="BA25"/>
  <c r="BC25" s="1"/>
  <c r="BA23"/>
  <c r="BC23" s="1"/>
  <c r="BA19"/>
  <c r="BA18"/>
  <c r="BC18" s="1"/>
  <c r="BA11"/>
  <c r="BC11" s="1"/>
  <c r="H4"/>
  <c r="J4"/>
  <c r="Y4" s="1"/>
  <c r="H5"/>
  <c r="J5"/>
  <c r="H6"/>
  <c r="J6"/>
  <c r="Y6" s="1"/>
  <c r="H7"/>
  <c r="J7"/>
  <c r="H8"/>
  <c r="J8"/>
  <c r="Y8" s="1"/>
  <c r="H9"/>
  <c r="J9"/>
  <c r="Y9" s="1"/>
  <c r="H10"/>
  <c r="J10"/>
  <c r="Y10" s="1"/>
  <c r="H11"/>
  <c r="J11"/>
  <c r="Y11" s="1"/>
  <c r="H12"/>
  <c r="J12"/>
  <c r="Y12" s="1"/>
  <c r="H13"/>
  <c r="J13"/>
  <c r="H14"/>
  <c r="J14"/>
  <c r="Y14" s="1"/>
  <c r="H15"/>
  <c r="J15"/>
  <c r="Y15" s="1"/>
  <c r="H16"/>
  <c r="J16"/>
  <c r="Y16" s="1"/>
  <c r="H17"/>
  <c r="J17"/>
  <c r="Y17" s="1"/>
  <c r="H18"/>
  <c r="J18"/>
  <c r="Y18" s="1"/>
  <c r="H19"/>
  <c r="J19"/>
  <c r="Y19" s="1"/>
  <c r="H20"/>
  <c r="J20"/>
  <c r="Y20" s="1"/>
  <c r="H21"/>
  <c r="J21"/>
  <c r="Y21" s="1"/>
  <c r="H22"/>
  <c r="J22"/>
  <c r="Y22" s="1"/>
  <c r="H23"/>
  <c r="J23"/>
  <c r="Y23" s="1"/>
  <c r="H24"/>
  <c r="J24"/>
  <c r="Y24" s="1"/>
  <c r="H25"/>
  <c r="J25"/>
  <c r="Y25" s="1"/>
  <c r="H26"/>
  <c r="J26"/>
  <c r="Y26" s="1"/>
  <c r="H28"/>
  <c r="J28"/>
  <c r="Y28" s="1"/>
  <c r="H29"/>
  <c r="J29"/>
  <c r="Y29" s="1"/>
  <c r="H30"/>
  <c r="J30"/>
  <c r="Y30" s="1"/>
  <c r="H31"/>
  <c r="J31"/>
  <c r="Y31" s="1"/>
  <c r="H32"/>
  <c r="J32"/>
  <c r="Y32" s="1"/>
  <c r="H33"/>
  <c r="J33"/>
  <c r="H34"/>
  <c r="J34"/>
  <c r="Y34" s="1"/>
  <c r="H35"/>
  <c r="J35"/>
  <c r="Y35" s="1"/>
  <c r="H36"/>
  <c r="J36"/>
  <c r="Y36" s="1"/>
  <c r="H37"/>
  <c r="J37"/>
  <c r="Y37" s="1"/>
  <c r="H38"/>
  <c r="J38"/>
  <c r="Y38" s="1"/>
  <c r="Y5"/>
  <c r="Y13"/>
  <c r="AU4"/>
  <c r="BA4"/>
  <c r="BC4" s="1"/>
  <c r="BI4"/>
  <c r="BO4"/>
  <c r="BQ4" s="1"/>
  <c r="AU5"/>
  <c r="BA5"/>
  <c r="BC5" s="1"/>
  <c r="BI5"/>
  <c r="BO5"/>
  <c r="BQ5" s="1"/>
  <c r="AU6"/>
  <c r="BA6"/>
  <c r="BC6" s="1"/>
  <c r="BI6"/>
  <c r="BO6"/>
  <c r="BQ6" s="1"/>
  <c r="AU7"/>
  <c r="BA7"/>
  <c r="BC7" s="1"/>
  <c r="BI7"/>
  <c r="BO7"/>
  <c r="BQ7" s="1"/>
  <c r="AU8"/>
  <c r="BA8"/>
  <c r="BC8" s="1"/>
  <c r="BI8"/>
  <c r="BO8"/>
  <c r="BQ8" s="1"/>
  <c r="AU9"/>
  <c r="BA9"/>
  <c r="BC9" s="1"/>
  <c r="BI9"/>
  <c r="BO9"/>
  <c r="BQ9" s="1"/>
  <c r="AU10"/>
  <c r="BA10"/>
  <c r="BC10" s="1"/>
  <c r="BI10"/>
  <c r="BO10"/>
  <c r="BQ10" s="1"/>
  <c r="AU11"/>
  <c r="AU12"/>
  <c r="BA12"/>
  <c r="BC12" s="1"/>
  <c r="BI12"/>
  <c r="BO12"/>
  <c r="BQ12" s="1"/>
  <c r="AU13"/>
  <c r="BA13"/>
  <c r="BC13" s="1"/>
  <c r="BI13"/>
  <c r="BO13"/>
  <c r="BQ13" s="1"/>
  <c r="AU14"/>
  <c r="BA14"/>
  <c r="BC14" s="1"/>
  <c r="BI14"/>
  <c r="BO14"/>
  <c r="BQ14" s="1"/>
  <c r="AU15"/>
  <c r="BA15"/>
  <c r="BC15" s="1"/>
  <c r="BI15"/>
  <c r="BO15"/>
  <c r="BQ15" s="1"/>
  <c r="AU27"/>
  <c r="BA27"/>
  <c r="BC27" s="1"/>
  <c r="BI27"/>
  <c r="BO27"/>
  <c r="BQ27" s="1"/>
  <c r="AU16"/>
  <c r="BA16"/>
  <c r="BC16" s="1"/>
  <c r="BI16"/>
  <c r="BO16"/>
  <c r="BQ16" s="1"/>
  <c r="AU17"/>
  <c r="BA17"/>
  <c r="BC17" s="1"/>
  <c r="BI17"/>
  <c r="BO17"/>
  <c r="BQ17" s="1"/>
  <c r="AU18"/>
  <c r="AU19"/>
  <c r="BC19"/>
  <c r="AU20"/>
  <c r="BA20"/>
  <c r="BC20" s="1"/>
  <c r="BI20"/>
  <c r="BO20"/>
  <c r="BQ20" s="1"/>
  <c r="AU21"/>
  <c r="BA21"/>
  <c r="BC21" s="1"/>
  <c r="BI21"/>
  <c r="BO21"/>
  <c r="BQ21" s="1"/>
  <c r="AU22"/>
  <c r="BA22"/>
  <c r="BC22" s="1"/>
  <c r="BI22"/>
  <c r="BO22"/>
  <c r="BQ22" s="1"/>
  <c r="AU23"/>
  <c r="AU24"/>
  <c r="BA24"/>
  <c r="BC24" s="1"/>
  <c r="BI24"/>
  <c r="BO24"/>
  <c r="BQ24" s="1"/>
  <c r="AU25"/>
  <c r="AU26"/>
  <c r="BI26"/>
  <c r="BO26"/>
  <c r="BQ26" s="1"/>
  <c r="AU28"/>
  <c r="BA28"/>
  <c r="BC28" s="1"/>
  <c r="BI28"/>
  <c r="BO28"/>
  <c r="BQ28" s="1"/>
  <c r="AU29"/>
  <c r="BA29"/>
  <c r="BC29" s="1"/>
  <c r="BI29"/>
  <c r="BO29"/>
  <c r="BQ29" s="1"/>
  <c r="AU30"/>
  <c r="BA30"/>
  <c r="BC30" s="1"/>
  <c r="BI30"/>
  <c r="BO30"/>
  <c r="BQ30" s="1"/>
  <c r="AU31"/>
  <c r="BA31"/>
  <c r="BC31" s="1"/>
  <c r="BI31"/>
  <c r="BO31"/>
  <c r="BQ31" s="1"/>
  <c r="AU32"/>
  <c r="BA32"/>
  <c r="BC32" s="1"/>
  <c r="BI32"/>
  <c r="BO32"/>
  <c r="BQ32" s="1"/>
  <c r="AU33"/>
  <c r="BA33"/>
  <c r="BC33" s="1"/>
  <c r="BI33"/>
  <c r="BO33"/>
  <c r="BQ33" s="1"/>
  <c r="AU34"/>
  <c r="BA34"/>
  <c r="BC34" s="1"/>
  <c r="BI34"/>
  <c r="BO34"/>
  <c r="BQ34" s="1"/>
  <c r="AU35"/>
  <c r="BA35"/>
  <c r="BC35" s="1"/>
  <c r="BI35"/>
  <c r="BO35"/>
  <c r="BQ35" s="1"/>
  <c r="AU36"/>
  <c r="BA36"/>
  <c r="BC36" s="1"/>
  <c r="BI36"/>
  <c r="BO36"/>
  <c r="BQ36" s="1"/>
  <c r="AU37"/>
  <c r="BA37"/>
  <c r="BC37" s="1"/>
  <c r="BI37"/>
  <c r="BO37"/>
  <c r="BQ37" s="1"/>
  <c r="AU38"/>
  <c r="BA38"/>
  <c r="BC38" s="1"/>
  <c r="BI38"/>
  <c r="BO38"/>
  <c r="BQ38" s="1"/>
  <c r="AG9"/>
  <c r="AF8"/>
  <c r="AF4"/>
  <c r="AG4"/>
  <c r="AF5"/>
  <c r="AG5"/>
  <c r="AF6"/>
  <c r="AG6"/>
  <c r="AF7"/>
  <c r="AG7"/>
  <c r="AG8"/>
  <c r="AF9"/>
  <c r="AF10"/>
  <c r="AG10"/>
  <c r="AF11"/>
  <c r="AG11"/>
  <c r="AF12"/>
  <c r="AG12"/>
  <c r="AF13"/>
  <c r="AG13"/>
  <c r="AF14"/>
  <c r="AG14"/>
  <c r="AF15"/>
  <c r="AG15"/>
  <c r="AF16"/>
  <c r="AG16"/>
  <c r="AF17"/>
  <c r="AG17"/>
  <c r="AF18"/>
  <c r="AG18"/>
  <c r="AF19"/>
  <c r="AG19"/>
  <c r="AF20"/>
  <c r="AG20"/>
  <c r="AF21"/>
  <c r="AG21"/>
  <c r="AF22"/>
  <c r="AG22"/>
  <c r="AF23"/>
  <c r="AG23"/>
  <c r="AF24"/>
  <c r="AG24"/>
  <c r="AF25"/>
  <c r="AG25"/>
  <c r="AF26"/>
  <c r="AG26"/>
  <c r="AF28"/>
  <c r="AG28"/>
  <c r="AF29"/>
  <c r="AG29"/>
  <c r="AF30"/>
  <c r="AG30"/>
  <c r="AF31"/>
  <c r="AG31"/>
  <c r="AF32"/>
  <c r="AG32"/>
  <c r="AF33"/>
  <c r="AG33"/>
  <c r="AF34"/>
  <c r="AG34"/>
  <c r="AF35"/>
  <c r="AG35"/>
  <c r="AF36"/>
  <c r="AG36"/>
  <c r="AF37"/>
  <c r="AG37"/>
  <c r="AF38"/>
  <c r="AG38"/>
  <c r="AF3"/>
  <c r="AG3"/>
  <c r="Y33"/>
  <c r="Y7"/>
  <c r="AL2"/>
  <c r="O29"/>
  <c r="Q29"/>
  <c r="Z29" s="1"/>
  <c r="O30"/>
  <c r="Q30"/>
  <c r="Z30" s="1"/>
  <c r="O31"/>
  <c r="Q31"/>
  <c r="Z31" s="1"/>
  <c r="O32"/>
  <c r="Q32"/>
  <c r="Z32" s="1"/>
  <c r="O33"/>
  <c r="Q33"/>
  <c r="Z33" s="1"/>
  <c r="O34"/>
  <c r="Q34"/>
  <c r="Z34" s="1"/>
  <c r="O35"/>
  <c r="Q35"/>
  <c r="Z35" s="1"/>
  <c r="O36"/>
  <c r="Q36"/>
  <c r="Z36" s="1"/>
  <c r="O37"/>
  <c r="Q37"/>
  <c r="Z37" s="1"/>
  <c r="O38"/>
  <c r="Q38"/>
  <c r="Z38" s="1"/>
  <c r="O28"/>
  <c r="Q28"/>
  <c r="Z28" s="1"/>
  <c r="O4"/>
  <c r="Q4"/>
  <c r="Z4" s="1"/>
  <c r="O5"/>
  <c r="Q5"/>
  <c r="Z5" s="1"/>
  <c r="O6"/>
  <c r="Q6"/>
  <c r="Z6" s="1"/>
  <c r="O7"/>
  <c r="Q7"/>
  <c r="Z7" s="1"/>
  <c r="O8"/>
  <c r="Q8"/>
  <c r="Z8" s="1"/>
  <c r="O9"/>
  <c r="Q9"/>
  <c r="Z9" s="1"/>
  <c r="O10"/>
  <c r="Q10"/>
  <c r="Z10" s="1"/>
  <c r="O11"/>
  <c r="Q11"/>
  <c r="Z11" s="1"/>
  <c r="O12"/>
  <c r="Q12"/>
  <c r="Z12" s="1"/>
  <c r="O13"/>
  <c r="Q13"/>
  <c r="Z13" s="1"/>
  <c r="O14"/>
  <c r="Q14"/>
  <c r="Z14" s="1"/>
  <c r="O15"/>
  <c r="Q15"/>
  <c r="Z15" s="1"/>
  <c r="O16"/>
  <c r="Q16"/>
  <c r="Z16" s="1"/>
  <c r="O17"/>
  <c r="Q17"/>
  <c r="Z17" s="1"/>
  <c r="O18"/>
  <c r="Q18"/>
  <c r="Z18" s="1"/>
  <c r="O19"/>
  <c r="Q19"/>
  <c r="Z19" s="1"/>
  <c r="O20"/>
  <c r="Q20"/>
  <c r="Z20" s="1"/>
  <c r="O21"/>
  <c r="Q21"/>
  <c r="Z21" s="1"/>
  <c r="O22"/>
  <c r="Q22"/>
  <c r="Z22" s="1"/>
  <c r="O23"/>
  <c r="Q23"/>
  <c r="Z23" s="1"/>
  <c r="O24"/>
  <c r="Q24"/>
  <c r="Z24" s="1"/>
  <c r="O25"/>
  <c r="Q25"/>
  <c r="Z25" s="1"/>
  <c r="O26"/>
  <c r="Q26"/>
  <c r="Z26" s="1"/>
  <c r="AK44"/>
  <c r="AK45" s="1"/>
  <c r="AE44"/>
  <c r="AE45" s="1"/>
  <c r="AC44"/>
  <c r="AC45" s="1"/>
  <c r="AB44"/>
  <c r="AB45" s="1"/>
  <c r="AD44"/>
  <c r="AD45" s="1"/>
  <c r="AA44"/>
  <c r="AA45" s="1"/>
  <c r="AJ44"/>
  <c r="AJ45" s="1"/>
  <c r="AI44"/>
  <c r="AI45" s="1"/>
  <c r="AH44"/>
  <c r="AH45" s="1"/>
  <c r="AK43"/>
  <c r="AE43"/>
  <c r="AC43"/>
  <c r="AB43"/>
  <c r="AD43"/>
  <c r="AA43"/>
  <c r="AJ43"/>
  <c r="AI43"/>
  <c r="AH43"/>
  <c r="AK42"/>
  <c r="AE42"/>
  <c r="AC42"/>
  <c r="AB42"/>
  <c r="AD42"/>
  <c r="AA42"/>
  <c r="AJ42"/>
  <c r="AI42"/>
  <c r="AH42"/>
  <c r="BO3"/>
  <c r="BQ3" s="1"/>
  <c r="BI3"/>
  <c r="BA3"/>
  <c r="BC3" s="1"/>
  <c r="AU3"/>
  <c r="Q3"/>
  <c r="Z3" s="1"/>
  <c r="O3"/>
  <c r="J3"/>
  <c r="Y3" s="1"/>
  <c r="H3"/>
  <c r="BJ20" i="23"/>
  <c r="BJ24"/>
  <c r="BJ19"/>
  <c r="W28"/>
  <c r="X19"/>
  <c r="O3"/>
  <c r="P4" s="1"/>
  <c r="BP24"/>
  <c r="BR24" s="1"/>
  <c r="BP20"/>
  <c r="BR20" s="1"/>
  <c r="BP19"/>
  <c r="BR19" s="1"/>
  <c r="BB24"/>
  <c r="BD24" s="1"/>
  <c r="BB20"/>
  <c r="BD20" s="1"/>
  <c r="BB19"/>
  <c r="BD19" s="1"/>
  <c r="AV4"/>
  <c r="BB4"/>
  <c r="BD4" s="1"/>
  <c r="BJ4"/>
  <c r="BP4"/>
  <c r="BR4" s="1"/>
  <c r="AV5"/>
  <c r="BB5"/>
  <c r="BD5" s="1"/>
  <c r="BJ5"/>
  <c r="BP5"/>
  <c r="BR5" s="1"/>
  <c r="AV6"/>
  <c r="BB6"/>
  <c r="BD6" s="1"/>
  <c r="BJ6"/>
  <c r="BP6"/>
  <c r="BR6" s="1"/>
  <c r="AV7"/>
  <c r="BB7"/>
  <c r="BD7" s="1"/>
  <c r="BJ7"/>
  <c r="BP7"/>
  <c r="BR7" s="1"/>
  <c r="AV8"/>
  <c r="BB8"/>
  <c r="BD8" s="1"/>
  <c r="BJ8"/>
  <c r="BP8"/>
  <c r="BR8" s="1"/>
  <c r="AV9"/>
  <c r="BB9"/>
  <c r="BD9" s="1"/>
  <c r="BJ9"/>
  <c r="BP9"/>
  <c r="BR9" s="1"/>
  <c r="AV10"/>
  <c r="BB10"/>
  <c r="BD10" s="1"/>
  <c r="BJ10"/>
  <c r="BP10"/>
  <c r="BR10" s="1"/>
  <c r="AV11"/>
  <c r="BB11"/>
  <c r="BD11" s="1"/>
  <c r="BJ11"/>
  <c r="BP11"/>
  <c r="BR11" s="1"/>
  <c r="AV12"/>
  <c r="BB12"/>
  <c r="BD12" s="1"/>
  <c r="BJ12"/>
  <c r="BP12"/>
  <c r="BR12" s="1"/>
  <c r="AV13"/>
  <c r="BB13"/>
  <c r="BD13" s="1"/>
  <c r="BJ13"/>
  <c r="BP13"/>
  <c r="BR13" s="1"/>
  <c r="AV14"/>
  <c r="BB14"/>
  <c r="BD14" s="1"/>
  <c r="BJ14"/>
  <c r="BP14"/>
  <c r="BR14" s="1"/>
  <c r="AV15"/>
  <c r="BB15"/>
  <c r="BD15" s="1"/>
  <c r="BJ15"/>
  <c r="BP15"/>
  <c r="BR15" s="1"/>
  <c r="AV16"/>
  <c r="BB16"/>
  <c r="BD16" s="1"/>
  <c r="BJ16"/>
  <c r="BP16"/>
  <c r="BR16" s="1"/>
  <c r="AV17"/>
  <c r="BB17"/>
  <c r="BD17" s="1"/>
  <c r="BJ17"/>
  <c r="BP17"/>
  <c r="BR17" s="1"/>
  <c r="AV18"/>
  <c r="BB18"/>
  <c r="BD18" s="1"/>
  <c r="BJ18"/>
  <c r="BP18"/>
  <c r="BR18" s="1"/>
  <c r="AV19"/>
  <c r="AV20"/>
  <c r="AV21"/>
  <c r="BB21"/>
  <c r="BD21" s="1"/>
  <c r="BJ21"/>
  <c r="BP21"/>
  <c r="BR21" s="1"/>
  <c r="AV22"/>
  <c r="BB22"/>
  <c r="BD22" s="1"/>
  <c r="BJ22"/>
  <c r="BP22"/>
  <c r="BR22" s="1"/>
  <c r="AV23"/>
  <c r="BB23"/>
  <c r="BD23" s="1"/>
  <c r="BJ23"/>
  <c r="BP23"/>
  <c r="BR23" s="1"/>
  <c r="AV24"/>
  <c r="AV25"/>
  <c r="BB25"/>
  <c r="BD25" s="1"/>
  <c r="BJ25"/>
  <c r="BP25"/>
  <c r="BR25" s="1"/>
  <c r="AV26"/>
  <c r="BB26"/>
  <c r="BD26" s="1"/>
  <c r="BJ26"/>
  <c r="BP26"/>
  <c r="BR26" s="1"/>
  <c r="AV27"/>
  <c r="BB27"/>
  <c r="BD27" s="1"/>
  <c r="BJ27"/>
  <c r="BP27"/>
  <c r="BR27" s="1"/>
  <c r="AV28"/>
  <c r="BB28"/>
  <c r="BD28" s="1"/>
  <c r="BJ28"/>
  <c r="BP28"/>
  <c r="BR28" s="1"/>
  <c r="AV29"/>
  <c r="BB29"/>
  <c r="BD29" s="1"/>
  <c r="BJ29"/>
  <c r="BP29"/>
  <c r="BR29" s="1"/>
  <c r="AV30"/>
  <c r="BB30"/>
  <c r="BD30" s="1"/>
  <c r="BJ30"/>
  <c r="BP30"/>
  <c r="BR30" s="1"/>
  <c r="AV31"/>
  <c r="BB31"/>
  <c r="BD31" s="1"/>
  <c r="BJ31"/>
  <c r="BP31"/>
  <c r="BR31" s="1"/>
  <c r="AV32"/>
  <c r="BB32"/>
  <c r="BD32" s="1"/>
  <c r="BJ32"/>
  <c r="BP32"/>
  <c r="BR32" s="1"/>
  <c r="AV33"/>
  <c r="BB33"/>
  <c r="BD33" s="1"/>
  <c r="BJ33"/>
  <c r="BP33"/>
  <c r="BR33" s="1"/>
  <c r="AV34"/>
  <c r="BB34"/>
  <c r="BD34" s="1"/>
  <c r="BJ34"/>
  <c r="BP34"/>
  <c r="BR34" s="1"/>
  <c r="AV35"/>
  <c r="BB35"/>
  <c r="BD35" s="1"/>
  <c r="BJ35"/>
  <c r="BP35"/>
  <c r="BR35" s="1"/>
  <c r="AJ26"/>
  <c r="AF26"/>
  <c r="Q26"/>
  <c r="Z26" s="1"/>
  <c r="O26"/>
  <c r="J26"/>
  <c r="Y26" s="1"/>
  <c r="H26"/>
  <c r="AL41"/>
  <c r="AL42" s="1"/>
  <c r="AK41"/>
  <c r="AK42" s="1"/>
  <c r="AI41"/>
  <c r="AI42" s="1"/>
  <c r="AH41"/>
  <c r="AH42" s="1"/>
  <c r="AG41"/>
  <c r="AG42" s="1"/>
  <c r="AE41"/>
  <c r="AE42" s="1"/>
  <c r="AD41"/>
  <c r="AD42" s="1"/>
  <c r="AC41"/>
  <c r="AC42" s="1"/>
  <c r="AB41"/>
  <c r="AB42" s="1"/>
  <c r="AA41"/>
  <c r="AA42" s="1"/>
  <c r="AL40"/>
  <c r="AK40"/>
  <c r="AI40"/>
  <c r="AH40"/>
  <c r="AG40"/>
  <c r="AE40"/>
  <c r="AD40"/>
  <c r="AC40"/>
  <c r="AB40"/>
  <c r="AA40"/>
  <c r="AL39"/>
  <c r="AK39"/>
  <c r="AI39"/>
  <c r="AH39"/>
  <c r="AG39"/>
  <c r="AE39"/>
  <c r="AD39"/>
  <c r="AC39"/>
  <c r="AB39"/>
  <c r="AA39"/>
  <c r="AJ35"/>
  <c r="AF35"/>
  <c r="Q35"/>
  <c r="Z35" s="1"/>
  <c r="O35"/>
  <c r="J35"/>
  <c r="Y35" s="1"/>
  <c r="H35"/>
  <c r="AJ34"/>
  <c r="AF34"/>
  <c r="Q34"/>
  <c r="Z34" s="1"/>
  <c r="O34"/>
  <c r="J34"/>
  <c r="Y34" s="1"/>
  <c r="H34"/>
  <c r="AJ33"/>
  <c r="AF33"/>
  <c r="Q33"/>
  <c r="Z33" s="1"/>
  <c r="O33"/>
  <c r="J33"/>
  <c r="Y33" s="1"/>
  <c r="H33"/>
  <c r="AJ32"/>
  <c r="AF32"/>
  <c r="Q32"/>
  <c r="Z32" s="1"/>
  <c r="O32"/>
  <c r="J32"/>
  <c r="Y32" s="1"/>
  <c r="H32"/>
  <c r="AJ31"/>
  <c r="AF31"/>
  <c r="Q31"/>
  <c r="Z31" s="1"/>
  <c r="O31"/>
  <c r="J31"/>
  <c r="Y31" s="1"/>
  <c r="H31"/>
  <c r="AJ30"/>
  <c r="AF30"/>
  <c r="Q30"/>
  <c r="Z30" s="1"/>
  <c r="O30"/>
  <c r="J30"/>
  <c r="Y30" s="1"/>
  <c r="H30"/>
  <c r="AJ29"/>
  <c r="AF29"/>
  <c r="Q29"/>
  <c r="Z29" s="1"/>
  <c r="O29"/>
  <c r="J29"/>
  <c r="Y29" s="1"/>
  <c r="H29"/>
  <c r="AJ28"/>
  <c r="AF28"/>
  <c r="Q28"/>
  <c r="Z28" s="1"/>
  <c r="O28"/>
  <c r="J28"/>
  <c r="Y28" s="1"/>
  <c r="H28"/>
  <c r="AJ27"/>
  <c r="AF27"/>
  <c r="Q27"/>
  <c r="Z27" s="1"/>
  <c r="O27"/>
  <c r="J27"/>
  <c r="Y27" s="1"/>
  <c r="H27"/>
  <c r="AJ25"/>
  <c r="AF25"/>
  <c r="Q25"/>
  <c r="Z25" s="1"/>
  <c r="O25"/>
  <c r="J25"/>
  <c r="Y25" s="1"/>
  <c r="H25"/>
  <c r="AJ24"/>
  <c r="AF24"/>
  <c r="Q24"/>
  <c r="Z24" s="1"/>
  <c r="O24"/>
  <c r="J24"/>
  <c r="Y24" s="1"/>
  <c r="H24"/>
  <c r="AJ23"/>
  <c r="AF23"/>
  <c r="Q23"/>
  <c r="Z23" s="1"/>
  <c r="O23"/>
  <c r="J23"/>
  <c r="Y23" s="1"/>
  <c r="H23"/>
  <c r="AJ22"/>
  <c r="AF22"/>
  <c r="Q22"/>
  <c r="Z22" s="1"/>
  <c r="O22"/>
  <c r="J22"/>
  <c r="Y22" s="1"/>
  <c r="H22"/>
  <c r="AJ21"/>
  <c r="AF21"/>
  <c r="Q21"/>
  <c r="Z21" s="1"/>
  <c r="O21"/>
  <c r="J21"/>
  <c r="Y21" s="1"/>
  <c r="H21"/>
  <c r="AJ20"/>
  <c r="AF20"/>
  <c r="Q20"/>
  <c r="Z20" s="1"/>
  <c r="O20"/>
  <c r="J20"/>
  <c r="Y20" s="1"/>
  <c r="H20"/>
  <c r="AJ19"/>
  <c r="AF19"/>
  <c r="Q19"/>
  <c r="Z19" s="1"/>
  <c r="O19"/>
  <c r="J19"/>
  <c r="Y19" s="1"/>
  <c r="H19"/>
  <c r="AJ18"/>
  <c r="AF18"/>
  <c r="Q18"/>
  <c r="Z18" s="1"/>
  <c r="O18"/>
  <c r="J18"/>
  <c r="Y18" s="1"/>
  <c r="H18"/>
  <c r="AJ17"/>
  <c r="AF17"/>
  <c r="Q17"/>
  <c r="Z17" s="1"/>
  <c r="O17"/>
  <c r="J17"/>
  <c r="Y17" s="1"/>
  <c r="H17"/>
  <c r="AJ16"/>
  <c r="AF16"/>
  <c r="Q16"/>
  <c r="Z16" s="1"/>
  <c r="O16"/>
  <c r="J16"/>
  <c r="Y16" s="1"/>
  <c r="H16"/>
  <c r="AJ15"/>
  <c r="AF15"/>
  <c r="Q15"/>
  <c r="Z15" s="1"/>
  <c r="O15"/>
  <c r="J15"/>
  <c r="Y15" s="1"/>
  <c r="H15"/>
  <c r="AJ14"/>
  <c r="AF14"/>
  <c r="Q14"/>
  <c r="Z14" s="1"/>
  <c r="O14"/>
  <c r="J14"/>
  <c r="Y14" s="1"/>
  <c r="H14"/>
  <c r="AJ12"/>
  <c r="AF12"/>
  <c r="Q12"/>
  <c r="Z12" s="1"/>
  <c r="O12"/>
  <c r="J12"/>
  <c r="Y12" s="1"/>
  <c r="H12"/>
  <c r="AJ11"/>
  <c r="AF11"/>
  <c r="Q11"/>
  <c r="Z11" s="1"/>
  <c r="O11"/>
  <c r="J11"/>
  <c r="Y11" s="1"/>
  <c r="H11"/>
  <c r="AJ10"/>
  <c r="AF10"/>
  <c r="Q10"/>
  <c r="Z10" s="1"/>
  <c r="O10"/>
  <c r="J10"/>
  <c r="Y10" s="1"/>
  <c r="H10"/>
  <c r="AJ9"/>
  <c r="AF9"/>
  <c r="Q9"/>
  <c r="Z9" s="1"/>
  <c r="O9"/>
  <c r="J9"/>
  <c r="Y9" s="1"/>
  <c r="H9"/>
  <c r="AJ13"/>
  <c r="AF13"/>
  <c r="Q13"/>
  <c r="Z13" s="1"/>
  <c r="O13"/>
  <c r="J13"/>
  <c r="Y13" s="1"/>
  <c r="H13"/>
  <c r="AJ8"/>
  <c r="AF8"/>
  <c r="Q8"/>
  <c r="Z8" s="1"/>
  <c r="O8"/>
  <c r="J8"/>
  <c r="Y8" s="1"/>
  <c r="H8"/>
  <c r="AJ7"/>
  <c r="AF7"/>
  <c r="Q7"/>
  <c r="Z7" s="1"/>
  <c r="O7"/>
  <c r="J7"/>
  <c r="Y7" s="1"/>
  <c r="H7"/>
  <c r="AJ6"/>
  <c r="AF6"/>
  <c r="Q6"/>
  <c r="Z6" s="1"/>
  <c r="O6"/>
  <c r="J6"/>
  <c r="Y6" s="1"/>
  <c r="H6"/>
  <c r="AJ5"/>
  <c r="AF5"/>
  <c r="Q5"/>
  <c r="Z5" s="1"/>
  <c r="O5"/>
  <c r="J5"/>
  <c r="Y5" s="1"/>
  <c r="H5"/>
  <c r="AJ4"/>
  <c r="AF4"/>
  <c r="Q4"/>
  <c r="Z4" s="1"/>
  <c r="O4"/>
  <c r="J4"/>
  <c r="Y4" s="1"/>
  <c r="H4"/>
  <c r="BP3"/>
  <c r="BR3" s="1"/>
  <c r="BJ3"/>
  <c r="BB3"/>
  <c r="BD3" s="1"/>
  <c r="AV3"/>
  <c r="AJ3"/>
  <c r="AF3"/>
  <c r="Q3"/>
  <c r="Z3" s="1"/>
  <c r="J3"/>
  <c r="Y3" s="1"/>
  <c r="H3"/>
  <c r="AM2"/>
  <c r="X5" i="22"/>
  <c r="X3"/>
  <c r="BP39"/>
  <c r="BR39"/>
  <c r="BP36"/>
  <c r="BR36"/>
  <c r="BP29"/>
  <c r="BP27"/>
  <c r="BR27"/>
  <c r="BP25"/>
  <c r="BP23"/>
  <c r="BR23"/>
  <c r="BP22"/>
  <c r="BR22"/>
  <c r="BP19"/>
  <c r="BR19"/>
  <c r="BP14"/>
  <c r="BR14"/>
  <c r="O4"/>
  <c r="BJ3"/>
  <c r="BP38"/>
  <c r="BR38"/>
  <c r="BP37"/>
  <c r="BR37"/>
  <c r="BP35"/>
  <c r="BR35"/>
  <c r="BP34"/>
  <c r="BR34"/>
  <c r="BP33"/>
  <c r="BR33"/>
  <c r="BP32"/>
  <c r="BR32"/>
  <c r="BP31"/>
  <c r="BR31"/>
  <c r="BP30"/>
  <c r="BR30"/>
  <c r="BR29"/>
  <c r="BJ29"/>
  <c r="BJ30"/>
  <c r="BJ31"/>
  <c r="BJ32"/>
  <c r="BJ33"/>
  <c r="BJ34"/>
  <c r="BJ35"/>
  <c r="BJ36"/>
  <c r="BJ37"/>
  <c r="BJ38"/>
  <c r="BJ39"/>
  <c r="BJ27"/>
  <c r="BJ25"/>
  <c r="BJ23"/>
  <c r="BJ22"/>
  <c r="BJ19"/>
  <c r="BJ14"/>
  <c r="AP37"/>
  <c r="AP38"/>
  <c r="AP39"/>
  <c r="AP36"/>
  <c r="AP33"/>
  <c r="AP34"/>
  <c r="AP35"/>
  <c r="AP32"/>
  <c r="AP15"/>
  <c r="AP16"/>
  <c r="AP17"/>
  <c r="AP18"/>
  <c r="AP19"/>
  <c r="AP20"/>
  <c r="AP21"/>
  <c r="AP22"/>
  <c r="AP23"/>
  <c r="AP24"/>
  <c r="AP25"/>
  <c r="AP26"/>
  <c r="AP27"/>
  <c r="AP28"/>
  <c r="AP29"/>
  <c r="AP30"/>
  <c r="AP31"/>
  <c r="AP14"/>
  <c r="AP4"/>
  <c r="AP5"/>
  <c r="AP6"/>
  <c r="AP7"/>
  <c r="AP8"/>
  <c r="AP9"/>
  <c r="AP10"/>
  <c r="AP11"/>
  <c r="AP12"/>
  <c r="AP13"/>
  <c r="AP3"/>
  <c r="BD36"/>
  <c r="BD3"/>
  <c r="BD4"/>
  <c r="BD5"/>
  <c r="BD6"/>
  <c r="BD7"/>
  <c r="BD8"/>
  <c r="BD9"/>
  <c r="BD10"/>
  <c r="BD11"/>
  <c r="BD12"/>
  <c r="BD13"/>
  <c r="BD14"/>
  <c r="BD15"/>
  <c r="BD16"/>
  <c r="BD17"/>
  <c r="BD18"/>
  <c r="BD19"/>
  <c r="BD20"/>
  <c r="BD21"/>
  <c r="BD22"/>
  <c r="BD23"/>
  <c r="BD24"/>
  <c r="BD25"/>
  <c r="BD26"/>
  <c r="BD27"/>
  <c r="BD28"/>
  <c r="BD29"/>
  <c r="BD30"/>
  <c r="BD31"/>
  <c r="BD32"/>
  <c r="BD33"/>
  <c r="BD34"/>
  <c r="BD35"/>
  <c r="BD37"/>
  <c r="BD38"/>
  <c r="BD39"/>
  <c r="BB4"/>
  <c r="BB5"/>
  <c r="BB6"/>
  <c r="BB7"/>
  <c r="BB8"/>
  <c r="BB9"/>
  <c r="BB10"/>
  <c r="BB11"/>
  <c r="BB12"/>
  <c r="BB13"/>
  <c r="BB14"/>
  <c r="BB15"/>
  <c r="BB16"/>
  <c r="BB17"/>
  <c r="BB18"/>
  <c r="BB19"/>
  <c r="BB20"/>
  <c r="BB21"/>
  <c r="BB22"/>
  <c r="BB23"/>
  <c r="BB24"/>
  <c r="BB25"/>
  <c r="BB26"/>
  <c r="BB27"/>
  <c r="BB28"/>
  <c r="BB29"/>
  <c r="BB30"/>
  <c r="BB31"/>
  <c r="BB32"/>
  <c r="BB33"/>
  <c r="BB34"/>
  <c r="BB35"/>
  <c r="BB36"/>
  <c r="BB37"/>
  <c r="BB38"/>
  <c r="BB39"/>
  <c r="BB3"/>
  <c r="W38"/>
  <c r="AV29"/>
  <c r="AJ39"/>
  <c r="AF28"/>
  <c r="AF29"/>
  <c r="AF30"/>
  <c r="AF31"/>
  <c r="AF32"/>
  <c r="AF33"/>
  <c r="AF34"/>
  <c r="AF35"/>
  <c r="AF36"/>
  <c r="AF37"/>
  <c r="AF38"/>
  <c r="AF39"/>
  <c r="Y39"/>
  <c r="Y38"/>
  <c r="Y35"/>
  <c r="Y34"/>
  <c r="Y31"/>
  <c r="Y30"/>
  <c r="H32"/>
  <c r="AJ38"/>
  <c r="AJ37"/>
  <c r="AJ36"/>
  <c r="AJ35"/>
  <c r="AJ34"/>
  <c r="AJ33"/>
  <c r="AJ32"/>
  <c r="AJ31"/>
  <c r="AJ30"/>
  <c r="AJ29"/>
  <c r="Q39"/>
  <c r="Z39"/>
  <c r="Q38"/>
  <c r="Z38"/>
  <c r="Q37"/>
  <c r="Z37"/>
  <c r="Q36"/>
  <c r="Z36"/>
  <c r="Q35"/>
  <c r="Z35"/>
  <c r="Q34"/>
  <c r="Z34"/>
  <c r="Q33"/>
  <c r="Z33"/>
  <c r="Q32"/>
  <c r="Z32"/>
  <c r="Q31"/>
  <c r="Z31"/>
  <c r="Q30"/>
  <c r="Z30"/>
  <c r="Q29"/>
  <c r="Z29"/>
  <c r="O39"/>
  <c r="O38"/>
  <c r="O37"/>
  <c r="O36"/>
  <c r="O35"/>
  <c r="O34"/>
  <c r="P34"/>
  <c r="O33"/>
  <c r="O32"/>
  <c r="O31"/>
  <c r="O30"/>
  <c r="O29"/>
  <c r="J39"/>
  <c r="J38"/>
  <c r="J37"/>
  <c r="Y37"/>
  <c r="J36"/>
  <c r="Y36"/>
  <c r="J35"/>
  <c r="J34"/>
  <c r="J33"/>
  <c r="Y33"/>
  <c r="J32"/>
  <c r="Y32"/>
  <c r="J31"/>
  <c r="J30"/>
  <c r="J29"/>
  <c r="Y29"/>
  <c r="H39"/>
  <c r="I39"/>
  <c r="W39"/>
  <c r="H38"/>
  <c r="H37"/>
  <c r="H36"/>
  <c r="I32"/>
  <c r="H35"/>
  <c r="H34"/>
  <c r="H33"/>
  <c r="H31"/>
  <c r="I31"/>
  <c r="W31"/>
  <c r="H30"/>
  <c r="H29"/>
  <c r="AL45"/>
  <c r="AL46"/>
  <c r="AK45"/>
  <c r="AK46"/>
  <c r="AI45"/>
  <c r="AI46"/>
  <c r="AH45"/>
  <c r="AH46"/>
  <c r="AG45"/>
  <c r="AG46"/>
  <c r="AE45"/>
  <c r="AE46"/>
  <c r="AD45"/>
  <c r="AD46"/>
  <c r="AC45"/>
  <c r="AC46"/>
  <c r="AB45"/>
  <c r="AB46"/>
  <c r="AA45"/>
  <c r="AA46"/>
  <c r="AL44"/>
  <c r="AK44"/>
  <c r="AI44"/>
  <c r="AH44"/>
  <c r="AG44"/>
  <c r="AE44"/>
  <c r="AD44"/>
  <c r="AC44"/>
  <c r="AB44"/>
  <c r="AA44"/>
  <c r="AL43"/>
  <c r="AK43"/>
  <c r="AI43"/>
  <c r="AH43"/>
  <c r="AG43"/>
  <c r="AE43"/>
  <c r="AD43"/>
  <c r="AC43"/>
  <c r="AB43"/>
  <c r="AA43"/>
  <c r="BP28"/>
  <c r="BR28"/>
  <c r="BJ28"/>
  <c r="AV28"/>
  <c r="AJ28"/>
  <c r="Q28"/>
  <c r="Z28"/>
  <c r="O28"/>
  <c r="J28"/>
  <c r="Y28"/>
  <c r="H28"/>
  <c r="AV27"/>
  <c r="AJ27"/>
  <c r="AF27"/>
  <c r="Q27"/>
  <c r="Z27"/>
  <c r="O27"/>
  <c r="J27"/>
  <c r="Y27"/>
  <c r="H27"/>
  <c r="BP26"/>
  <c r="BR26"/>
  <c r="BJ26"/>
  <c r="AV26"/>
  <c r="AJ26"/>
  <c r="AF26"/>
  <c r="Q26"/>
  <c r="Z26"/>
  <c r="O26"/>
  <c r="J26"/>
  <c r="Y26"/>
  <c r="H26"/>
  <c r="BR25"/>
  <c r="AV25"/>
  <c r="AJ25"/>
  <c r="AF25"/>
  <c r="Q25"/>
  <c r="Z25"/>
  <c r="O25"/>
  <c r="J25"/>
  <c r="Y25"/>
  <c r="H25"/>
  <c r="BP24"/>
  <c r="BR24"/>
  <c r="BJ24"/>
  <c r="AV24"/>
  <c r="AJ24"/>
  <c r="AF24"/>
  <c r="Q24"/>
  <c r="Z24"/>
  <c r="O24"/>
  <c r="J24"/>
  <c r="Y24"/>
  <c r="H24"/>
  <c r="AV23"/>
  <c r="AJ23"/>
  <c r="AF23"/>
  <c r="Q23"/>
  <c r="Z23"/>
  <c r="O23"/>
  <c r="J23"/>
  <c r="Y23"/>
  <c r="H23"/>
  <c r="AV22"/>
  <c r="AJ22"/>
  <c r="AF22"/>
  <c r="Q22"/>
  <c r="Z22"/>
  <c r="O22"/>
  <c r="J22"/>
  <c r="Y22"/>
  <c r="H22"/>
  <c r="BP21"/>
  <c r="BR21"/>
  <c r="BJ21"/>
  <c r="AV21"/>
  <c r="AJ21"/>
  <c r="AF21"/>
  <c r="Q21"/>
  <c r="Z21"/>
  <c r="O21"/>
  <c r="J21"/>
  <c r="Y21"/>
  <c r="H21"/>
  <c r="BP20"/>
  <c r="BR20"/>
  <c r="BJ20"/>
  <c r="AV20"/>
  <c r="AJ20"/>
  <c r="AF20"/>
  <c r="Q20"/>
  <c r="Z20"/>
  <c r="O20"/>
  <c r="J20"/>
  <c r="Y20"/>
  <c r="H20"/>
  <c r="AV19"/>
  <c r="AJ19"/>
  <c r="AF19"/>
  <c r="Q19"/>
  <c r="Z19"/>
  <c r="O19"/>
  <c r="J19"/>
  <c r="Y19"/>
  <c r="H19"/>
  <c r="BP18"/>
  <c r="BR18"/>
  <c r="BJ18"/>
  <c r="AV18"/>
  <c r="AJ18"/>
  <c r="AF18"/>
  <c r="Q18"/>
  <c r="Z18"/>
  <c r="O18"/>
  <c r="J18"/>
  <c r="Y18"/>
  <c r="H18"/>
  <c r="BP17"/>
  <c r="BR17"/>
  <c r="BJ17"/>
  <c r="AV17"/>
  <c r="AJ17"/>
  <c r="AF17"/>
  <c r="Q17"/>
  <c r="Z17"/>
  <c r="O17"/>
  <c r="J17"/>
  <c r="Y17"/>
  <c r="H17"/>
  <c r="BP16"/>
  <c r="BR16"/>
  <c r="BJ16"/>
  <c r="AV16"/>
  <c r="AJ16"/>
  <c r="AF16"/>
  <c r="Q16"/>
  <c r="Z16"/>
  <c r="O16"/>
  <c r="J16"/>
  <c r="Y16"/>
  <c r="H16"/>
  <c r="BP15"/>
  <c r="BR15"/>
  <c r="BJ15"/>
  <c r="AV15"/>
  <c r="AJ15"/>
  <c r="AF15"/>
  <c r="Q15"/>
  <c r="Z15"/>
  <c r="O15"/>
  <c r="J15"/>
  <c r="Y15"/>
  <c r="H15"/>
  <c r="AV14"/>
  <c r="AJ14"/>
  <c r="AF14"/>
  <c r="Q14"/>
  <c r="Z14"/>
  <c r="O14"/>
  <c r="J14"/>
  <c r="Y14"/>
  <c r="H14"/>
  <c r="BP13"/>
  <c r="BR13"/>
  <c r="BJ13"/>
  <c r="AV13"/>
  <c r="AJ13"/>
  <c r="AF13"/>
  <c r="Q13"/>
  <c r="Z13"/>
  <c r="O13"/>
  <c r="J13"/>
  <c r="Y13"/>
  <c r="H13"/>
  <c r="BP12"/>
  <c r="BR12"/>
  <c r="BJ12"/>
  <c r="AV12"/>
  <c r="AJ12"/>
  <c r="AF12"/>
  <c r="Q12"/>
  <c r="Z12"/>
  <c r="O12"/>
  <c r="J12"/>
  <c r="Y12"/>
  <c r="H12"/>
  <c r="BP11"/>
  <c r="BR11"/>
  <c r="BJ11"/>
  <c r="AV11"/>
  <c r="AJ11"/>
  <c r="AF11"/>
  <c r="Q11"/>
  <c r="Z11"/>
  <c r="O11"/>
  <c r="J11"/>
  <c r="Y11"/>
  <c r="H11"/>
  <c r="BP10"/>
  <c r="BR10"/>
  <c r="BJ10"/>
  <c r="AV10"/>
  <c r="AJ10"/>
  <c r="AF10"/>
  <c r="Q10"/>
  <c r="Z10"/>
  <c r="O10"/>
  <c r="J10"/>
  <c r="Y10"/>
  <c r="H10"/>
  <c r="BP9"/>
  <c r="BR9"/>
  <c r="BJ9"/>
  <c r="AV9"/>
  <c r="AJ9"/>
  <c r="AF9"/>
  <c r="Q9"/>
  <c r="Z9"/>
  <c r="O9"/>
  <c r="J9"/>
  <c r="Y9"/>
  <c r="H9"/>
  <c r="BP8"/>
  <c r="BR8"/>
  <c r="BJ8"/>
  <c r="AV8"/>
  <c r="AJ8"/>
  <c r="AF8"/>
  <c r="Q8"/>
  <c r="Z8"/>
  <c r="O8"/>
  <c r="J8"/>
  <c r="Y8"/>
  <c r="H8"/>
  <c r="BP7"/>
  <c r="BR7"/>
  <c r="BJ7"/>
  <c r="AV7"/>
  <c r="AJ7"/>
  <c r="AF7"/>
  <c r="Q7"/>
  <c r="Z7"/>
  <c r="O7"/>
  <c r="J7"/>
  <c r="Y7"/>
  <c r="H7"/>
  <c r="BP6"/>
  <c r="BR6"/>
  <c r="BJ6"/>
  <c r="AV6"/>
  <c r="AJ6"/>
  <c r="AF6"/>
  <c r="Q6"/>
  <c r="Z6"/>
  <c r="O6"/>
  <c r="J6"/>
  <c r="Y6"/>
  <c r="H6"/>
  <c r="BP5"/>
  <c r="BR5"/>
  <c r="BJ5"/>
  <c r="AV5"/>
  <c r="AJ5"/>
  <c r="AF5"/>
  <c r="Q5"/>
  <c r="Z5"/>
  <c r="O5"/>
  <c r="J5"/>
  <c r="Y5"/>
  <c r="H5"/>
  <c r="BP4"/>
  <c r="BR4"/>
  <c r="BJ4"/>
  <c r="AV4"/>
  <c r="AJ4"/>
  <c r="AF4"/>
  <c r="Q4"/>
  <c r="Z4"/>
  <c r="J4"/>
  <c r="Y4"/>
  <c r="H4"/>
  <c r="BP3"/>
  <c r="BR3"/>
  <c r="AV3"/>
  <c r="AJ3"/>
  <c r="AF3"/>
  <c r="Q3"/>
  <c r="Z3"/>
  <c r="O3"/>
  <c r="J3"/>
  <c r="Y3"/>
  <c r="H3"/>
  <c r="I3"/>
  <c r="AM2"/>
  <c r="AA40" i="21"/>
  <c r="AB40"/>
  <c r="AC40"/>
  <c r="AD40"/>
  <c r="AE40"/>
  <c r="AG40"/>
  <c r="AH40"/>
  <c r="AI40"/>
  <c r="AK40"/>
  <c r="AL40"/>
  <c r="AA41"/>
  <c r="AB41"/>
  <c r="AC41"/>
  <c r="AD41"/>
  <c r="AE41"/>
  <c r="AG41"/>
  <c r="AH41"/>
  <c r="AI41"/>
  <c r="AK41"/>
  <c r="AL41"/>
  <c r="AA42"/>
  <c r="AB42"/>
  <c r="AC42"/>
  <c r="AD42"/>
  <c r="AE42"/>
  <c r="AG42"/>
  <c r="AH42"/>
  <c r="AI42"/>
  <c r="AK42"/>
  <c r="AL42"/>
  <c r="AA43"/>
  <c r="AB43"/>
  <c r="AC43"/>
  <c r="AD43"/>
  <c r="AE43"/>
  <c r="AG43"/>
  <c r="AH43"/>
  <c r="AI43"/>
  <c r="AK43"/>
  <c r="AL43"/>
  <c r="AJ3"/>
  <c r="AF3"/>
  <c r="J15"/>
  <c r="BP20"/>
  <c r="BR20"/>
  <c r="BJ20"/>
  <c r="BB20"/>
  <c r="BD20"/>
  <c r="AV20"/>
  <c r="AJ20"/>
  <c r="AF20"/>
  <c r="Q20"/>
  <c r="Z20"/>
  <c r="O20"/>
  <c r="P20"/>
  <c r="X20"/>
  <c r="J20"/>
  <c r="Y20"/>
  <c r="H20"/>
  <c r="BP19"/>
  <c r="BR19"/>
  <c r="BJ19"/>
  <c r="BB19"/>
  <c r="BD19"/>
  <c r="AV19"/>
  <c r="AJ19"/>
  <c r="AF19"/>
  <c r="Q19"/>
  <c r="Z19"/>
  <c r="O19"/>
  <c r="J19"/>
  <c r="Y19"/>
  <c r="H19"/>
  <c r="I19"/>
  <c r="BP18"/>
  <c r="BR18"/>
  <c r="BJ18"/>
  <c r="BB18"/>
  <c r="BD18"/>
  <c r="AV18"/>
  <c r="AJ18"/>
  <c r="AF18"/>
  <c r="Q18"/>
  <c r="Z18"/>
  <c r="O18"/>
  <c r="P18"/>
  <c r="X18"/>
  <c r="J18"/>
  <c r="Y18"/>
  <c r="H18"/>
  <c r="BP17"/>
  <c r="BR17"/>
  <c r="BJ17"/>
  <c r="BB17"/>
  <c r="BD17"/>
  <c r="AV17"/>
  <c r="AJ17"/>
  <c r="AF17"/>
  <c r="Q17"/>
  <c r="Z17"/>
  <c r="O17"/>
  <c r="J17"/>
  <c r="Y17"/>
  <c r="H17"/>
  <c r="I17"/>
  <c r="BP8"/>
  <c r="BR8"/>
  <c r="BJ8"/>
  <c r="BB8"/>
  <c r="BD8"/>
  <c r="AV8"/>
  <c r="AJ8"/>
  <c r="AF8"/>
  <c r="Q8"/>
  <c r="Z8"/>
  <c r="O8"/>
  <c r="J8"/>
  <c r="Y8"/>
  <c r="H8"/>
  <c r="BP28"/>
  <c r="BR28"/>
  <c r="BJ28"/>
  <c r="BB28"/>
  <c r="BD28"/>
  <c r="AV28"/>
  <c r="AJ28"/>
  <c r="AF28"/>
  <c r="Q28"/>
  <c r="Z28"/>
  <c r="O28"/>
  <c r="J28"/>
  <c r="Y28"/>
  <c r="H28"/>
  <c r="I28"/>
  <c r="BP27"/>
  <c r="BR27"/>
  <c r="BJ27"/>
  <c r="BB27"/>
  <c r="BD27"/>
  <c r="AV27"/>
  <c r="AJ27"/>
  <c r="AF27"/>
  <c r="Q27"/>
  <c r="Z27"/>
  <c r="O27"/>
  <c r="P27"/>
  <c r="X27"/>
  <c r="J27"/>
  <c r="Y27"/>
  <c r="H27"/>
  <c r="BP26"/>
  <c r="BR26"/>
  <c r="BJ26"/>
  <c r="BB26"/>
  <c r="BD26"/>
  <c r="AV26"/>
  <c r="AJ26"/>
  <c r="AF26"/>
  <c r="Q26"/>
  <c r="Z26"/>
  <c r="O26"/>
  <c r="J26"/>
  <c r="Y26"/>
  <c r="H26"/>
  <c r="I26"/>
  <c r="BP25"/>
  <c r="BR25"/>
  <c r="BJ25"/>
  <c r="BB25"/>
  <c r="BD25"/>
  <c r="AV25"/>
  <c r="AJ25"/>
  <c r="AF25"/>
  <c r="Q25"/>
  <c r="Z25"/>
  <c r="O25"/>
  <c r="P26"/>
  <c r="J25"/>
  <c r="Y25"/>
  <c r="H25"/>
  <c r="BP24"/>
  <c r="BR24"/>
  <c r="BJ24"/>
  <c r="BB24"/>
  <c r="BD24"/>
  <c r="AV24"/>
  <c r="AJ24"/>
  <c r="AF24"/>
  <c r="Q24"/>
  <c r="Z24"/>
  <c r="O24"/>
  <c r="J24"/>
  <c r="Y24"/>
  <c r="H24"/>
  <c r="BP23"/>
  <c r="BR23"/>
  <c r="BJ23"/>
  <c r="BB23"/>
  <c r="BD23"/>
  <c r="AV23"/>
  <c r="AJ23"/>
  <c r="AF23"/>
  <c r="Q23"/>
  <c r="Z23"/>
  <c r="O23"/>
  <c r="J23"/>
  <c r="Y23"/>
  <c r="H23"/>
  <c r="BP22"/>
  <c r="BR22"/>
  <c r="BJ22"/>
  <c r="BB22"/>
  <c r="BD22"/>
  <c r="AV22"/>
  <c r="AJ22"/>
  <c r="AF22"/>
  <c r="Q22"/>
  <c r="Z22"/>
  <c r="O22"/>
  <c r="J22"/>
  <c r="Y22"/>
  <c r="H22"/>
  <c r="BP21"/>
  <c r="BR21"/>
  <c r="BJ21"/>
  <c r="BB21"/>
  <c r="BD21"/>
  <c r="AV21"/>
  <c r="AJ21"/>
  <c r="AF21"/>
  <c r="Q21"/>
  <c r="Z21"/>
  <c r="O21"/>
  <c r="P21"/>
  <c r="X21"/>
  <c r="J21"/>
  <c r="Y21"/>
  <c r="H21"/>
  <c r="BP16"/>
  <c r="BR16"/>
  <c r="BJ16"/>
  <c r="BB16"/>
  <c r="BD16"/>
  <c r="AV16"/>
  <c r="AJ16"/>
  <c r="AF16"/>
  <c r="Q16"/>
  <c r="Z16"/>
  <c r="O16"/>
  <c r="J16"/>
  <c r="Y16"/>
  <c r="H16"/>
  <c r="BP15"/>
  <c r="BR15"/>
  <c r="BJ15"/>
  <c r="BB15"/>
  <c r="BD15"/>
  <c r="AV15"/>
  <c r="AJ15"/>
  <c r="AF15"/>
  <c r="Q15"/>
  <c r="Z15"/>
  <c r="O15"/>
  <c r="Y15"/>
  <c r="H15"/>
  <c r="BP14"/>
  <c r="BR14"/>
  <c r="BJ14"/>
  <c r="BB14"/>
  <c r="BD14"/>
  <c r="AV14"/>
  <c r="AJ14"/>
  <c r="AF14"/>
  <c r="Q14"/>
  <c r="Z14"/>
  <c r="O14"/>
  <c r="J14"/>
  <c r="Y14"/>
  <c r="H14"/>
  <c r="I14"/>
  <c r="BP13"/>
  <c r="BR13"/>
  <c r="BJ13"/>
  <c r="BB13"/>
  <c r="BD13"/>
  <c r="AV13"/>
  <c r="AJ13"/>
  <c r="AF13"/>
  <c r="Q13"/>
  <c r="Z13"/>
  <c r="O13"/>
  <c r="J13"/>
  <c r="Y13"/>
  <c r="H13"/>
  <c r="BP12"/>
  <c r="BR12"/>
  <c r="BJ12"/>
  <c r="BB12"/>
  <c r="BD12"/>
  <c r="AV12"/>
  <c r="AJ12"/>
  <c r="AF12"/>
  <c r="Q12"/>
  <c r="Z12"/>
  <c r="O12"/>
  <c r="J12"/>
  <c r="Y12"/>
  <c r="H12"/>
  <c r="BP11"/>
  <c r="BR11"/>
  <c r="BJ11"/>
  <c r="BB11"/>
  <c r="BD11"/>
  <c r="AV11"/>
  <c r="AJ11"/>
  <c r="AF11"/>
  <c r="Q11"/>
  <c r="Z11"/>
  <c r="O11"/>
  <c r="J11"/>
  <c r="Y11"/>
  <c r="H11"/>
  <c r="BP10"/>
  <c r="BR10"/>
  <c r="BJ10"/>
  <c r="BB10"/>
  <c r="BD10"/>
  <c r="AV10"/>
  <c r="AJ10"/>
  <c r="AF10"/>
  <c r="Q10"/>
  <c r="Z10"/>
  <c r="O10"/>
  <c r="J10"/>
  <c r="Y10"/>
  <c r="H10"/>
  <c r="BP9"/>
  <c r="BR9"/>
  <c r="BJ9"/>
  <c r="BB9"/>
  <c r="BD9"/>
  <c r="AV9"/>
  <c r="AJ9"/>
  <c r="AF9"/>
  <c r="Q9"/>
  <c r="Z9"/>
  <c r="O9"/>
  <c r="J9"/>
  <c r="Y9"/>
  <c r="H9"/>
  <c r="BP7"/>
  <c r="BR7"/>
  <c r="BJ7"/>
  <c r="BB7"/>
  <c r="BD7"/>
  <c r="AV7"/>
  <c r="AJ7"/>
  <c r="AF7"/>
  <c r="Q7"/>
  <c r="Z7"/>
  <c r="O7"/>
  <c r="P7"/>
  <c r="X7"/>
  <c r="J7"/>
  <c r="Y7"/>
  <c r="H7"/>
  <c r="BP6"/>
  <c r="BR6"/>
  <c r="BJ6"/>
  <c r="BB6"/>
  <c r="BD6"/>
  <c r="AV6"/>
  <c r="AJ6"/>
  <c r="AF6"/>
  <c r="Q6"/>
  <c r="Z6"/>
  <c r="O6"/>
  <c r="J6"/>
  <c r="Y6"/>
  <c r="H6"/>
  <c r="I6"/>
  <c r="BP5"/>
  <c r="BR5"/>
  <c r="BJ5"/>
  <c r="BB5"/>
  <c r="BD5"/>
  <c r="AV5"/>
  <c r="AJ5"/>
  <c r="AF5"/>
  <c r="Q5"/>
  <c r="Z5"/>
  <c r="O5"/>
  <c r="J5"/>
  <c r="Y5"/>
  <c r="H5"/>
  <c r="BP4"/>
  <c r="BR4"/>
  <c r="BJ4"/>
  <c r="BB4"/>
  <c r="BD4"/>
  <c r="AV4"/>
  <c r="AJ4"/>
  <c r="AJ40"/>
  <c r="AF4"/>
  <c r="AF42"/>
  <c r="AF43"/>
  <c r="Q4"/>
  <c r="Z4"/>
  <c r="O4"/>
  <c r="P15"/>
  <c r="X15"/>
  <c r="J4"/>
  <c r="Y4"/>
  <c r="H4"/>
  <c r="BP3"/>
  <c r="BR3"/>
  <c r="BJ3"/>
  <c r="BB3"/>
  <c r="AV3"/>
  <c r="Q3"/>
  <c r="Z3"/>
  <c r="O3"/>
  <c r="P23"/>
  <c r="X23"/>
  <c r="J3"/>
  <c r="H3"/>
  <c r="I12"/>
  <c r="AM2"/>
  <c r="BJ14" i="17"/>
  <c r="BP20"/>
  <c r="BR20"/>
  <c r="BP14"/>
  <c r="BP7"/>
  <c r="Q21"/>
  <c r="BJ20"/>
  <c r="BQ38" i="18"/>
  <c r="BN38"/>
  <c r="BM38"/>
  <c r="BL38"/>
  <c r="BK38"/>
  <c r="BH38"/>
  <c r="BG38"/>
  <c r="BE38"/>
  <c r="BC38"/>
  <c r="AZ38"/>
  <c r="AY38"/>
  <c r="AX38"/>
  <c r="AW38"/>
  <c r="AU38"/>
  <c r="AS38"/>
  <c r="AR38"/>
  <c r="AQ38"/>
  <c r="AL38"/>
  <c r="AK38"/>
  <c r="AI38"/>
  <c r="AH38"/>
  <c r="AG38"/>
  <c r="AE38"/>
  <c r="AD38"/>
  <c r="AC38"/>
  <c r="AB38"/>
  <c r="AA38"/>
  <c r="R38"/>
  <c r="N38"/>
  <c r="M38"/>
  <c r="L38"/>
  <c r="K38"/>
  <c r="G38"/>
  <c r="F38"/>
  <c r="E38"/>
  <c r="BP26"/>
  <c r="BR26"/>
  <c r="BJ26"/>
  <c r="BD26"/>
  <c r="BB26"/>
  <c r="AV26"/>
  <c r="AJ26"/>
  <c r="AF26"/>
  <c r="Q26"/>
  <c r="Z26"/>
  <c r="O26"/>
  <c r="J26"/>
  <c r="Y26"/>
  <c r="H26"/>
  <c r="BR25"/>
  <c r="BP25"/>
  <c r="BJ25"/>
  <c r="BB25"/>
  <c r="BD25"/>
  <c r="AV25"/>
  <c r="AJ25"/>
  <c r="AF25"/>
  <c r="Q25"/>
  <c r="Z25"/>
  <c r="O25"/>
  <c r="J25"/>
  <c r="Y25"/>
  <c r="H25"/>
  <c r="BR24"/>
  <c r="BP24"/>
  <c r="BJ24"/>
  <c r="BB24"/>
  <c r="BD24"/>
  <c r="AV24"/>
  <c r="AJ24"/>
  <c r="AF24"/>
  <c r="Q24"/>
  <c r="Z24"/>
  <c r="O24"/>
  <c r="J24"/>
  <c r="Y24"/>
  <c r="H24"/>
  <c r="BP23"/>
  <c r="BR23"/>
  <c r="BJ23"/>
  <c r="BD23"/>
  <c r="BB23"/>
  <c r="AV23"/>
  <c r="AJ23"/>
  <c r="AF23"/>
  <c r="Q23"/>
  <c r="Z23"/>
  <c r="O23"/>
  <c r="P22"/>
  <c r="J23"/>
  <c r="Y23"/>
  <c r="H23"/>
  <c r="BP22"/>
  <c r="BR22"/>
  <c r="BJ22"/>
  <c r="BB22"/>
  <c r="BD22"/>
  <c r="AV22"/>
  <c r="AJ22"/>
  <c r="AF22"/>
  <c r="Q22"/>
  <c r="Z22"/>
  <c r="O22"/>
  <c r="J22"/>
  <c r="Y22"/>
  <c r="H22"/>
  <c r="BR21"/>
  <c r="BP21"/>
  <c r="BJ21"/>
  <c r="BB21"/>
  <c r="BD21"/>
  <c r="AV21"/>
  <c r="AJ21"/>
  <c r="AF21"/>
  <c r="Q21"/>
  <c r="Z21"/>
  <c r="O21"/>
  <c r="J21"/>
  <c r="Y21"/>
  <c r="H21"/>
  <c r="I25"/>
  <c r="BP20"/>
  <c r="BR20"/>
  <c r="BJ20"/>
  <c r="BB20"/>
  <c r="BD20"/>
  <c r="AV20"/>
  <c r="AJ20"/>
  <c r="AF20"/>
  <c r="Q20"/>
  <c r="Z20"/>
  <c r="O20"/>
  <c r="J20"/>
  <c r="Y20"/>
  <c r="H20"/>
  <c r="BR19"/>
  <c r="BP19"/>
  <c r="BJ19"/>
  <c r="BD19"/>
  <c r="BB19"/>
  <c r="AV19"/>
  <c r="AJ19"/>
  <c r="AF19"/>
  <c r="Q19"/>
  <c r="Z19"/>
  <c r="O19"/>
  <c r="J19"/>
  <c r="Y19"/>
  <c r="H19"/>
  <c r="BP18"/>
  <c r="BR18"/>
  <c r="BJ18"/>
  <c r="BB18"/>
  <c r="BD18"/>
  <c r="AV18"/>
  <c r="AJ18"/>
  <c r="AF18"/>
  <c r="Q18"/>
  <c r="Z18"/>
  <c r="O18"/>
  <c r="P18"/>
  <c r="X18"/>
  <c r="J18"/>
  <c r="Y18"/>
  <c r="H18"/>
  <c r="BP17"/>
  <c r="BR17"/>
  <c r="BJ17"/>
  <c r="BB17"/>
  <c r="BD17"/>
  <c r="AV17"/>
  <c r="AJ17"/>
  <c r="AF17"/>
  <c r="Q17"/>
  <c r="Z17"/>
  <c r="O17"/>
  <c r="J17"/>
  <c r="Y17"/>
  <c r="H17"/>
  <c r="BP16"/>
  <c r="BR16"/>
  <c r="BJ16"/>
  <c r="BD16"/>
  <c r="BB16"/>
  <c r="AV16"/>
  <c r="AJ16"/>
  <c r="AF16"/>
  <c r="Q16"/>
  <c r="Z16"/>
  <c r="O16"/>
  <c r="J16"/>
  <c r="Y16"/>
  <c r="H16"/>
  <c r="BR15"/>
  <c r="BP15"/>
  <c r="BJ15"/>
  <c r="BB15"/>
  <c r="BD15"/>
  <c r="AV15"/>
  <c r="AJ15"/>
  <c r="AF15"/>
  <c r="Q15"/>
  <c r="Z15"/>
  <c r="O15"/>
  <c r="J15"/>
  <c r="Y15"/>
  <c r="H15"/>
  <c r="BP14"/>
  <c r="BR14"/>
  <c r="BJ14"/>
  <c r="BD14"/>
  <c r="BB14"/>
  <c r="AV14"/>
  <c r="AJ14"/>
  <c r="AF14"/>
  <c r="Q14"/>
  <c r="Z14"/>
  <c r="O14"/>
  <c r="P14"/>
  <c r="X14"/>
  <c r="J14"/>
  <c r="Y14"/>
  <c r="H14"/>
  <c r="BP13"/>
  <c r="BR13"/>
  <c r="BJ13"/>
  <c r="BB13"/>
  <c r="BD13"/>
  <c r="AV13"/>
  <c r="AJ13"/>
  <c r="AF13"/>
  <c r="Q13"/>
  <c r="Z13"/>
  <c r="O13"/>
  <c r="J13"/>
  <c r="Y13"/>
  <c r="H13"/>
  <c r="BR12"/>
  <c r="BP12"/>
  <c r="BJ12"/>
  <c r="BD12"/>
  <c r="BB12"/>
  <c r="AV12"/>
  <c r="AJ12"/>
  <c r="AF12"/>
  <c r="Q12"/>
  <c r="Z12"/>
  <c r="O12"/>
  <c r="J12"/>
  <c r="Y12"/>
  <c r="H12"/>
  <c r="BP11"/>
  <c r="BR11"/>
  <c r="BJ11"/>
  <c r="BB11"/>
  <c r="BD11"/>
  <c r="AV11"/>
  <c r="AJ11"/>
  <c r="AF11"/>
  <c r="Q11"/>
  <c r="Z11"/>
  <c r="O11"/>
  <c r="P11"/>
  <c r="X11"/>
  <c r="J11"/>
  <c r="Y11"/>
  <c r="H11"/>
  <c r="BP10"/>
  <c r="BR10"/>
  <c r="BJ10"/>
  <c r="BB10"/>
  <c r="BD10"/>
  <c r="AV10"/>
  <c r="AJ10"/>
  <c r="AF10"/>
  <c r="Q10"/>
  <c r="Z10"/>
  <c r="O10"/>
  <c r="P10"/>
  <c r="X10"/>
  <c r="J10"/>
  <c r="Y10"/>
  <c r="H10"/>
  <c r="BR9"/>
  <c r="BP9"/>
  <c r="BJ9"/>
  <c r="BB9"/>
  <c r="BD9"/>
  <c r="AV9"/>
  <c r="AJ9"/>
  <c r="AF9"/>
  <c r="Q9"/>
  <c r="Z9"/>
  <c r="O9"/>
  <c r="J9"/>
  <c r="Y9"/>
  <c r="H9"/>
  <c r="BP8"/>
  <c r="BR8"/>
  <c r="BJ8"/>
  <c r="BB8"/>
  <c r="BD8"/>
  <c r="AV8"/>
  <c r="AJ8"/>
  <c r="AF8"/>
  <c r="Q8"/>
  <c r="Z8"/>
  <c r="O8"/>
  <c r="J8"/>
  <c r="Y8"/>
  <c r="H8"/>
  <c r="BP7"/>
  <c r="BR7"/>
  <c r="BJ7"/>
  <c r="BD7"/>
  <c r="BB7"/>
  <c r="AV7"/>
  <c r="AJ7"/>
  <c r="AF7"/>
  <c r="Q7"/>
  <c r="Z7"/>
  <c r="O7"/>
  <c r="P7"/>
  <c r="X7"/>
  <c r="J7"/>
  <c r="Y7"/>
  <c r="H7"/>
  <c r="BP6"/>
  <c r="BR6"/>
  <c r="BJ6"/>
  <c r="BB6"/>
  <c r="BD6"/>
  <c r="AV6"/>
  <c r="AJ6"/>
  <c r="AF6"/>
  <c r="Q6"/>
  <c r="Z6"/>
  <c r="O6"/>
  <c r="P6"/>
  <c r="X6"/>
  <c r="J6"/>
  <c r="Y6"/>
  <c r="H6"/>
  <c r="BP5"/>
  <c r="BR5"/>
  <c r="BJ5"/>
  <c r="BB5"/>
  <c r="BD5"/>
  <c r="AV5"/>
  <c r="AJ5"/>
  <c r="AF5"/>
  <c r="Q5"/>
  <c r="Z5"/>
  <c r="O5"/>
  <c r="P5"/>
  <c r="X5"/>
  <c r="P12"/>
  <c r="X12"/>
  <c r="J5"/>
  <c r="Y5"/>
  <c r="H5"/>
  <c r="BR4"/>
  <c r="BP4"/>
  <c r="BJ4"/>
  <c r="BD4"/>
  <c r="BB4"/>
  <c r="AV4"/>
  <c r="AJ4"/>
  <c r="AJ38"/>
  <c r="AF4"/>
  <c r="Q4"/>
  <c r="Z4"/>
  <c r="O4"/>
  <c r="J4"/>
  <c r="Y4"/>
  <c r="H4"/>
  <c r="BP3"/>
  <c r="BP38"/>
  <c r="BJ3"/>
  <c r="BJ38"/>
  <c r="BB3"/>
  <c r="BB38"/>
  <c r="AV3"/>
  <c r="AV38"/>
  <c r="AJ3"/>
  <c r="AF3"/>
  <c r="AF38"/>
  <c r="Q3"/>
  <c r="Z3"/>
  <c r="Z38"/>
  <c r="O3"/>
  <c r="P19"/>
  <c r="X19"/>
  <c r="J3"/>
  <c r="Y3"/>
  <c r="H3"/>
  <c r="AM2"/>
  <c r="BD22" i="17"/>
  <c r="BD25"/>
  <c r="BJ3"/>
  <c r="BQ38"/>
  <c r="AV3"/>
  <c r="BB7"/>
  <c r="BD7"/>
  <c r="BB8"/>
  <c r="BD8"/>
  <c r="BB9"/>
  <c r="BD9"/>
  <c r="BB10"/>
  <c r="BD10"/>
  <c r="BB11"/>
  <c r="BD11"/>
  <c r="BB12"/>
  <c r="BD12"/>
  <c r="BB13"/>
  <c r="BD13"/>
  <c r="BB14"/>
  <c r="BD14"/>
  <c r="BB15"/>
  <c r="BD15"/>
  <c r="BB16"/>
  <c r="BD16"/>
  <c r="BB17"/>
  <c r="BD17"/>
  <c r="BB18"/>
  <c r="BD18"/>
  <c r="BB19"/>
  <c r="BD19"/>
  <c r="BB20"/>
  <c r="BD20"/>
  <c r="BB21"/>
  <c r="BD21"/>
  <c r="BB22"/>
  <c r="BB23"/>
  <c r="BD23"/>
  <c r="BB24"/>
  <c r="BD24"/>
  <c r="BB25"/>
  <c r="BB26"/>
  <c r="BD26"/>
  <c r="BB6"/>
  <c r="BD6"/>
  <c r="H4"/>
  <c r="H5"/>
  <c r="AM2"/>
  <c r="AF3"/>
  <c r="H8"/>
  <c r="BP24"/>
  <c r="BR24"/>
  <c r="BJ24"/>
  <c r="AV24"/>
  <c r="AJ24"/>
  <c r="AF24"/>
  <c r="Q24"/>
  <c r="Z24"/>
  <c r="O24"/>
  <c r="J24"/>
  <c r="Y24"/>
  <c r="H24"/>
  <c r="BN38"/>
  <c r="BM38"/>
  <c r="BL38"/>
  <c r="BK38"/>
  <c r="BH38"/>
  <c r="BG38"/>
  <c r="BC38"/>
  <c r="BE38"/>
  <c r="AZ38"/>
  <c r="AY38"/>
  <c r="AX38"/>
  <c r="AW38"/>
  <c r="AU38"/>
  <c r="AS38"/>
  <c r="AR38"/>
  <c r="AQ38"/>
  <c r="AL38"/>
  <c r="AK38"/>
  <c r="AI38"/>
  <c r="AH38"/>
  <c r="AG38"/>
  <c r="AE38"/>
  <c r="AD38"/>
  <c r="AC38"/>
  <c r="AB38"/>
  <c r="AA38"/>
  <c r="R38"/>
  <c r="N38"/>
  <c r="M38"/>
  <c r="L38"/>
  <c r="K38"/>
  <c r="G38"/>
  <c r="F38"/>
  <c r="E38"/>
  <c r="BP26"/>
  <c r="BR26"/>
  <c r="BJ26"/>
  <c r="AV26"/>
  <c r="AJ26"/>
  <c r="AF26"/>
  <c r="Q26"/>
  <c r="Z26"/>
  <c r="O26"/>
  <c r="J26"/>
  <c r="Y26"/>
  <c r="H26"/>
  <c r="BP25"/>
  <c r="BR25"/>
  <c r="BJ25"/>
  <c r="AV25"/>
  <c r="AJ25"/>
  <c r="AF25"/>
  <c r="Q25"/>
  <c r="Z25"/>
  <c r="O25"/>
  <c r="J25"/>
  <c r="Y25"/>
  <c r="H25"/>
  <c r="BP23"/>
  <c r="BR23"/>
  <c r="BJ23"/>
  <c r="AV23"/>
  <c r="AJ23"/>
  <c r="AF23"/>
  <c r="Q23"/>
  <c r="Z23"/>
  <c r="O23"/>
  <c r="J23"/>
  <c r="Y23"/>
  <c r="H23"/>
  <c r="BP22"/>
  <c r="BR22"/>
  <c r="BJ22"/>
  <c r="AV22"/>
  <c r="AJ22"/>
  <c r="AF22"/>
  <c r="Q22"/>
  <c r="Z22"/>
  <c r="O22"/>
  <c r="J22"/>
  <c r="Y22"/>
  <c r="H22"/>
  <c r="BP21"/>
  <c r="BR21"/>
  <c r="BJ21"/>
  <c r="AV21"/>
  <c r="AJ21"/>
  <c r="AF21"/>
  <c r="Z21"/>
  <c r="O21"/>
  <c r="J21"/>
  <c r="Y21"/>
  <c r="H21"/>
  <c r="AV20"/>
  <c r="AJ20"/>
  <c r="AF20"/>
  <c r="Q20"/>
  <c r="Z20"/>
  <c r="O20"/>
  <c r="J20"/>
  <c r="Y20"/>
  <c r="H20"/>
  <c r="BP19"/>
  <c r="BR19"/>
  <c r="BJ19"/>
  <c r="AV19"/>
  <c r="AJ19"/>
  <c r="AF19"/>
  <c r="Q19"/>
  <c r="Z19"/>
  <c r="O19"/>
  <c r="J19"/>
  <c r="Y19"/>
  <c r="H19"/>
  <c r="BP18"/>
  <c r="BR18"/>
  <c r="BJ18"/>
  <c r="AV18"/>
  <c r="AJ18"/>
  <c r="AF18"/>
  <c r="Q18"/>
  <c r="Z18"/>
  <c r="O18"/>
  <c r="J18"/>
  <c r="Y18"/>
  <c r="H18"/>
  <c r="BP17"/>
  <c r="BR17"/>
  <c r="BJ17"/>
  <c r="AV17"/>
  <c r="AJ17"/>
  <c r="AF17"/>
  <c r="Q17"/>
  <c r="Z17"/>
  <c r="O17"/>
  <c r="J17"/>
  <c r="Y17"/>
  <c r="H17"/>
  <c r="BP16"/>
  <c r="BR16"/>
  <c r="BJ16"/>
  <c r="AV16"/>
  <c r="AJ16"/>
  <c r="AF16"/>
  <c r="Q16"/>
  <c r="Z16"/>
  <c r="O16"/>
  <c r="J16"/>
  <c r="Y16"/>
  <c r="H16"/>
  <c r="BP15"/>
  <c r="BR15"/>
  <c r="BJ15"/>
  <c r="AV15"/>
  <c r="AJ15"/>
  <c r="AF15"/>
  <c r="Q15"/>
  <c r="Z15"/>
  <c r="O15"/>
  <c r="J15"/>
  <c r="Y15"/>
  <c r="H15"/>
  <c r="BR14"/>
  <c r="AV14"/>
  <c r="AJ14"/>
  <c r="AF14"/>
  <c r="Q14"/>
  <c r="Z14"/>
  <c r="O14"/>
  <c r="J14"/>
  <c r="Y14"/>
  <c r="H14"/>
  <c r="BP13"/>
  <c r="BR13"/>
  <c r="BJ13"/>
  <c r="AV13"/>
  <c r="AJ13"/>
  <c r="AF13"/>
  <c r="Q13"/>
  <c r="Z13"/>
  <c r="O13"/>
  <c r="J13"/>
  <c r="Y13"/>
  <c r="H13"/>
  <c r="BP12"/>
  <c r="BR12"/>
  <c r="BJ12"/>
  <c r="AV12"/>
  <c r="AJ12"/>
  <c r="AF12"/>
  <c r="Q12"/>
  <c r="Z12"/>
  <c r="O12"/>
  <c r="J12"/>
  <c r="Y12"/>
  <c r="H12"/>
  <c r="BP11"/>
  <c r="BR11"/>
  <c r="BJ11"/>
  <c r="AV11"/>
  <c r="AJ11"/>
  <c r="AF11"/>
  <c r="Q11"/>
  <c r="Z11"/>
  <c r="O11"/>
  <c r="J11"/>
  <c r="Y11"/>
  <c r="H11"/>
  <c r="BP10"/>
  <c r="BR10"/>
  <c r="BJ10"/>
  <c r="AV10"/>
  <c r="AJ10"/>
  <c r="AF10"/>
  <c r="Q10"/>
  <c r="Z10"/>
  <c r="O10"/>
  <c r="J10"/>
  <c r="Y10"/>
  <c r="H10"/>
  <c r="BP9"/>
  <c r="BR9"/>
  <c r="BJ9"/>
  <c r="AV9"/>
  <c r="AJ9"/>
  <c r="AF9"/>
  <c r="Q9"/>
  <c r="Z9"/>
  <c r="O9"/>
  <c r="J9"/>
  <c r="Y9"/>
  <c r="H9"/>
  <c r="BP8"/>
  <c r="BR8"/>
  <c r="BJ8"/>
  <c r="AV8"/>
  <c r="AJ8"/>
  <c r="AF8"/>
  <c r="Q8"/>
  <c r="Z8"/>
  <c r="O8"/>
  <c r="J8"/>
  <c r="Y8"/>
  <c r="BR7"/>
  <c r="BJ7"/>
  <c r="AV7"/>
  <c r="AJ7"/>
  <c r="AF7"/>
  <c r="Q7"/>
  <c r="Z7"/>
  <c r="O7"/>
  <c r="J7"/>
  <c r="Y7"/>
  <c r="H7"/>
  <c r="BP6"/>
  <c r="BR6"/>
  <c r="BJ6"/>
  <c r="AV6"/>
  <c r="AJ6"/>
  <c r="AF6"/>
  <c r="Q6"/>
  <c r="Z6"/>
  <c r="O6"/>
  <c r="J6"/>
  <c r="Y6"/>
  <c r="H6"/>
  <c r="BP5"/>
  <c r="BR5"/>
  <c r="BJ5"/>
  <c r="BB5"/>
  <c r="BD5"/>
  <c r="AV5"/>
  <c r="AJ5"/>
  <c r="AF5"/>
  <c r="Q5"/>
  <c r="Z5"/>
  <c r="O5"/>
  <c r="J5"/>
  <c r="Y5"/>
  <c r="BP4"/>
  <c r="BR4"/>
  <c r="BJ4"/>
  <c r="BB4"/>
  <c r="BD4"/>
  <c r="AV4"/>
  <c r="AJ4"/>
  <c r="AF4"/>
  <c r="Q4"/>
  <c r="O4"/>
  <c r="J4"/>
  <c r="Y4"/>
  <c r="BP3"/>
  <c r="BR3"/>
  <c r="BB3"/>
  <c r="BD3"/>
  <c r="AJ3"/>
  <c r="Q3"/>
  <c r="Z3"/>
  <c r="O3"/>
  <c r="J3"/>
  <c r="H3"/>
  <c r="AF4" i="16"/>
  <c r="AF5"/>
  <c r="AF6"/>
  <c r="AF7"/>
  <c r="AF8"/>
  <c r="AF9"/>
  <c r="AF10"/>
  <c r="AF11"/>
  <c r="AF12"/>
  <c r="AF13"/>
  <c r="AF14"/>
  <c r="AF15"/>
  <c r="AF16"/>
  <c r="AF17"/>
  <c r="AF18"/>
  <c r="AF19"/>
  <c r="AF20"/>
  <c r="AF21"/>
  <c r="AF22"/>
  <c r="AF23"/>
  <c r="AF24"/>
  <c r="AF25"/>
  <c r="AF26"/>
  <c r="AF27"/>
  <c r="AF3"/>
  <c r="AF40"/>
  <c r="AB4"/>
  <c r="AB5"/>
  <c r="AB6"/>
  <c r="AB7"/>
  <c r="AB8"/>
  <c r="AB9"/>
  <c r="AB10"/>
  <c r="AB11"/>
  <c r="AB12"/>
  <c r="AB13"/>
  <c r="AB14"/>
  <c r="AB15"/>
  <c r="AB16"/>
  <c r="AB17"/>
  <c r="AB18"/>
  <c r="AB19"/>
  <c r="AB20"/>
  <c r="AB21"/>
  <c r="AB22"/>
  <c r="AB23"/>
  <c r="AB24"/>
  <c r="AB25"/>
  <c r="AB26"/>
  <c r="AB27"/>
  <c r="AB3"/>
  <c r="AB40"/>
  <c r="BN4"/>
  <c r="BN5"/>
  <c r="BN6"/>
  <c r="BN7"/>
  <c r="BN8"/>
  <c r="BN9"/>
  <c r="BN10"/>
  <c r="BN11"/>
  <c r="BN12"/>
  <c r="BN13"/>
  <c r="BN14"/>
  <c r="BN15"/>
  <c r="BN16"/>
  <c r="BN17"/>
  <c r="BN18"/>
  <c r="BN19"/>
  <c r="BN20"/>
  <c r="BN21"/>
  <c r="BN22"/>
  <c r="BN23"/>
  <c r="BN24"/>
  <c r="BN25"/>
  <c r="BN26"/>
  <c r="BN27"/>
  <c r="BH22"/>
  <c r="BH32"/>
  <c r="BH31"/>
  <c r="BH30"/>
  <c r="BH29"/>
  <c r="BH28"/>
  <c r="BH27"/>
  <c r="BH26"/>
  <c r="BH25"/>
  <c r="BH24"/>
  <c r="BH23"/>
  <c r="BH21"/>
  <c r="BH20"/>
  <c r="BH19"/>
  <c r="BH18"/>
  <c r="BH17"/>
  <c r="BH16"/>
  <c r="BH15"/>
  <c r="BH14"/>
  <c r="BH13"/>
  <c r="BH12"/>
  <c r="BH11"/>
  <c r="BH10"/>
  <c r="BH9"/>
  <c r="BH8"/>
  <c r="AV19"/>
  <c r="AV26"/>
  <c r="AV24"/>
  <c r="AV18"/>
  <c r="AV17"/>
  <c r="AV16"/>
  <c r="AV8"/>
  <c r="BB4"/>
  <c r="BB5"/>
  <c r="BB6"/>
  <c r="BB7"/>
  <c r="BB8"/>
  <c r="BB9"/>
  <c r="BB10"/>
  <c r="BB11"/>
  <c r="BB12"/>
  <c r="BB13"/>
  <c r="BB14"/>
  <c r="BB15"/>
  <c r="BB16"/>
  <c r="BB17"/>
  <c r="BB18"/>
  <c r="BB19"/>
  <c r="BB20"/>
  <c r="BB21"/>
  <c r="BB22"/>
  <c r="BB23"/>
  <c r="BB24"/>
  <c r="BB25"/>
  <c r="BB26"/>
  <c r="BB27"/>
  <c r="Q8"/>
  <c r="V8"/>
  <c r="O8"/>
  <c r="J8"/>
  <c r="U8"/>
  <c r="H4"/>
  <c r="H5"/>
  <c r="H6"/>
  <c r="H7"/>
  <c r="H8"/>
  <c r="H10"/>
  <c r="Q24"/>
  <c r="V24"/>
  <c r="Q25"/>
  <c r="V25"/>
  <c r="Q26"/>
  <c r="V26"/>
  <c r="Q27"/>
  <c r="V27"/>
  <c r="Q23"/>
  <c r="V23"/>
  <c r="Q11"/>
  <c r="V11"/>
  <c r="Q12"/>
  <c r="V12"/>
  <c r="Q13"/>
  <c r="V13"/>
  <c r="Q14"/>
  <c r="V14"/>
  <c r="Q15"/>
  <c r="V15"/>
  <c r="Q16"/>
  <c r="V16"/>
  <c r="Q17"/>
  <c r="V17"/>
  <c r="Q18"/>
  <c r="V18"/>
  <c r="Q19"/>
  <c r="V19"/>
  <c r="Q20"/>
  <c r="V20"/>
  <c r="Q21"/>
  <c r="V21"/>
  <c r="Q22"/>
  <c r="V22"/>
  <c r="Q10"/>
  <c r="V10"/>
  <c r="O11"/>
  <c r="O12"/>
  <c r="O13"/>
  <c r="O14"/>
  <c r="O15"/>
  <c r="O16"/>
  <c r="O17"/>
  <c r="O18"/>
  <c r="O19"/>
  <c r="O20"/>
  <c r="O21"/>
  <c r="O22"/>
  <c r="O23"/>
  <c r="O24"/>
  <c r="O25"/>
  <c r="O26"/>
  <c r="O27"/>
  <c r="J11"/>
  <c r="U11"/>
  <c r="J12"/>
  <c r="U12"/>
  <c r="J13"/>
  <c r="U13"/>
  <c r="J14"/>
  <c r="U14"/>
  <c r="J15"/>
  <c r="U15"/>
  <c r="J16"/>
  <c r="U16"/>
  <c r="J17"/>
  <c r="U17"/>
  <c r="J18"/>
  <c r="U18"/>
  <c r="J19"/>
  <c r="U19"/>
  <c r="J20"/>
  <c r="U20"/>
  <c r="J21"/>
  <c r="U21"/>
  <c r="J22"/>
  <c r="U22"/>
  <c r="J23"/>
  <c r="U23"/>
  <c r="J24"/>
  <c r="U24"/>
  <c r="J25"/>
  <c r="U25"/>
  <c r="J26"/>
  <c r="U26"/>
  <c r="J27"/>
  <c r="U27"/>
  <c r="J10"/>
  <c r="U10"/>
  <c r="H11"/>
  <c r="H12"/>
  <c r="H13"/>
  <c r="H14"/>
  <c r="H15"/>
  <c r="H16"/>
  <c r="H17"/>
  <c r="H18"/>
  <c r="H19"/>
  <c r="H20"/>
  <c r="H21"/>
  <c r="H22"/>
  <c r="H23"/>
  <c r="H24"/>
  <c r="H25"/>
  <c r="H26"/>
  <c r="H27"/>
  <c r="BL40"/>
  <c r="BK40"/>
  <c r="BJ40"/>
  <c r="BI40"/>
  <c r="BF40"/>
  <c r="BE40"/>
  <c r="BD40"/>
  <c r="BC40"/>
  <c r="AZ40"/>
  <c r="AY40"/>
  <c r="AX40"/>
  <c r="AW40"/>
  <c r="AU40"/>
  <c r="AS40"/>
  <c r="AR40"/>
  <c r="AQ40"/>
  <c r="AK40"/>
  <c r="AH40"/>
  <c r="AG40"/>
  <c r="AE40"/>
  <c r="AD40"/>
  <c r="AC40"/>
  <c r="AA40"/>
  <c r="Z40"/>
  <c r="Y40"/>
  <c r="X40"/>
  <c r="W40"/>
  <c r="R40"/>
  <c r="N40"/>
  <c r="M40"/>
  <c r="L40"/>
  <c r="K40"/>
  <c r="G40"/>
  <c r="F40"/>
  <c r="E40"/>
  <c r="AV27"/>
  <c r="AV25"/>
  <c r="AV23"/>
  <c r="AV22"/>
  <c r="AV21"/>
  <c r="AV20"/>
  <c r="AV15"/>
  <c r="AV14"/>
  <c r="AV13"/>
  <c r="AV12"/>
  <c r="AV11"/>
  <c r="AV10"/>
  <c r="O10"/>
  <c r="AV9"/>
  <c r="Q9"/>
  <c r="V9"/>
  <c r="O9"/>
  <c r="J9"/>
  <c r="U9"/>
  <c r="H9"/>
  <c r="BH7"/>
  <c r="AV7"/>
  <c r="Q7"/>
  <c r="V7"/>
  <c r="O7"/>
  <c r="J7"/>
  <c r="U7"/>
  <c r="BH6"/>
  <c r="AV6"/>
  <c r="Q6"/>
  <c r="V6"/>
  <c r="O6"/>
  <c r="J6"/>
  <c r="U6"/>
  <c r="BH5"/>
  <c r="AV5"/>
  <c r="Q5"/>
  <c r="V5"/>
  <c r="O5"/>
  <c r="J5"/>
  <c r="U5"/>
  <c r="BH4"/>
  <c r="AV4"/>
  <c r="Q4"/>
  <c r="V4"/>
  <c r="O4"/>
  <c r="J4"/>
  <c r="U4"/>
  <c r="BN3"/>
  <c r="BH3"/>
  <c r="BB3"/>
  <c r="AV3"/>
  <c r="Q3"/>
  <c r="V3"/>
  <c r="O3"/>
  <c r="J3"/>
  <c r="H3"/>
  <c r="AI2"/>
  <c r="BH17" i="14"/>
  <c r="BH13"/>
  <c r="BH11"/>
  <c r="J3"/>
  <c r="BN17"/>
  <c r="BN13"/>
  <c r="BN11"/>
  <c r="BB17"/>
  <c r="BB13"/>
  <c r="BB11"/>
  <c r="O3"/>
  <c r="O19"/>
  <c r="J18"/>
  <c r="AV3"/>
  <c r="BN21"/>
  <c r="BH21"/>
  <c r="BB21"/>
  <c r="AV21"/>
  <c r="Q21"/>
  <c r="V21"/>
  <c r="O21"/>
  <c r="J21"/>
  <c r="U21"/>
  <c r="H21"/>
  <c r="BN14"/>
  <c r="BH14"/>
  <c r="BB14"/>
  <c r="AV14"/>
  <c r="Q14"/>
  <c r="V14"/>
  <c r="O14"/>
  <c r="J14"/>
  <c r="U14"/>
  <c r="H14"/>
  <c r="AV13"/>
  <c r="Q13"/>
  <c r="V13"/>
  <c r="O13"/>
  <c r="J13"/>
  <c r="U13"/>
  <c r="H13"/>
  <c r="BL34"/>
  <c r="BK34"/>
  <c r="BJ34"/>
  <c r="BI34"/>
  <c r="BF34"/>
  <c r="BE34"/>
  <c r="BD34"/>
  <c r="BC34"/>
  <c r="AZ34"/>
  <c r="AY34"/>
  <c r="AX34"/>
  <c r="AW34"/>
  <c r="AU34"/>
  <c r="AS34"/>
  <c r="AR34"/>
  <c r="AQ34"/>
  <c r="AK34"/>
  <c r="AH34"/>
  <c r="AG34"/>
  <c r="AF34"/>
  <c r="AE34"/>
  <c r="AD34"/>
  <c r="AC34"/>
  <c r="AB34"/>
  <c r="AA34"/>
  <c r="Z34"/>
  <c r="Y34"/>
  <c r="X34"/>
  <c r="W34"/>
  <c r="R34"/>
  <c r="N34"/>
  <c r="M34"/>
  <c r="L34"/>
  <c r="K34"/>
  <c r="G34"/>
  <c r="F34"/>
  <c r="E34"/>
  <c r="BN20"/>
  <c r="BH20"/>
  <c r="BB20"/>
  <c r="AV20"/>
  <c r="Q20"/>
  <c r="V20"/>
  <c r="O20"/>
  <c r="J20"/>
  <c r="U20"/>
  <c r="H20"/>
  <c r="BN19"/>
  <c r="BH19"/>
  <c r="BB19"/>
  <c r="AV19"/>
  <c r="Q19"/>
  <c r="V19"/>
  <c r="J19"/>
  <c r="U19"/>
  <c r="H19"/>
  <c r="I19"/>
  <c r="BN18"/>
  <c r="BH18"/>
  <c r="BB18"/>
  <c r="AV18"/>
  <c r="Q18"/>
  <c r="V18"/>
  <c r="O18"/>
  <c r="U18"/>
  <c r="H18"/>
  <c r="I18"/>
  <c r="AV17"/>
  <c r="Q17"/>
  <c r="V17"/>
  <c r="O17"/>
  <c r="J17"/>
  <c r="U17"/>
  <c r="H17"/>
  <c r="BN16"/>
  <c r="BH16"/>
  <c r="BB16"/>
  <c r="AV16"/>
  <c r="Q16"/>
  <c r="V16"/>
  <c r="O16"/>
  <c r="J16"/>
  <c r="U16"/>
  <c r="H16"/>
  <c r="BN15"/>
  <c r="BH15"/>
  <c r="BB15"/>
  <c r="AV15"/>
  <c r="Q15"/>
  <c r="V15"/>
  <c r="O15"/>
  <c r="J15"/>
  <c r="U15"/>
  <c r="H15"/>
  <c r="BN12"/>
  <c r="BH12"/>
  <c r="BB12"/>
  <c r="AV12"/>
  <c r="Q12"/>
  <c r="V12"/>
  <c r="O12"/>
  <c r="J12"/>
  <c r="U12"/>
  <c r="H12"/>
  <c r="AV11"/>
  <c r="Q11"/>
  <c r="V11"/>
  <c r="O11"/>
  <c r="J11"/>
  <c r="U11"/>
  <c r="H11"/>
  <c r="BN10"/>
  <c r="BH10"/>
  <c r="BB10"/>
  <c r="AV10"/>
  <c r="Q10"/>
  <c r="V10"/>
  <c r="O10"/>
  <c r="J10"/>
  <c r="U10"/>
  <c r="H10"/>
  <c r="BN9"/>
  <c r="BH9"/>
  <c r="BB9"/>
  <c r="AV9"/>
  <c r="Q9"/>
  <c r="V9"/>
  <c r="O9"/>
  <c r="J9"/>
  <c r="U9"/>
  <c r="H9"/>
  <c r="BN8"/>
  <c r="BH8"/>
  <c r="BB8"/>
  <c r="AV8"/>
  <c r="Q8"/>
  <c r="V8"/>
  <c r="O8"/>
  <c r="J8"/>
  <c r="U8"/>
  <c r="H8"/>
  <c r="BN7"/>
  <c r="BH7"/>
  <c r="BB7"/>
  <c r="AV7"/>
  <c r="Q7"/>
  <c r="V7"/>
  <c r="O7"/>
  <c r="J7"/>
  <c r="U7"/>
  <c r="H7"/>
  <c r="BN6"/>
  <c r="BH6"/>
  <c r="BB6"/>
  <c r="AV6"/>
  <c r="Q6"/>
  <c r="O6"/>
  <c r="J6"/>
  <c r="U6"/>
  <c r="H6"/>
  <c r="BN5"/>
  <c r="BH5"/>
  <c r="BB5"/>
  <c r="AV5"/>
  <c r="Q5"/>
  <c r="V5"/>
  <c r="O5"/>
  <c r="J5"/>
  <c r="U5"/>
  <c r="H5"/>
  <c r="BN4"/>
  <c r="BH4"/>
  <c r="BB4"/>
  <c r="AV4"/>
  <c r="Q4"/>
  <c r="V4"/>
  <c r="O4"/>
  <c r="J4"/>
  <c r="U4"/>
  <c r="H4"/>
  <c r="BN3"/>
  <c r="BH3"/>
  <c r="BB3"/>
  <c r="Q3"/>
  <c r="V3"/>
  <c r="U3"/>
  <c r="H3"/>
  <c r="AI2"/>
  <c r="AL2" i="11"/>
  <c r="M3"/>
  <c r="R3"/>
  <c r="Y3"/>
  <c r="Z3"/>
  <c r="AE3"/>
  <c r="M4"/>
  <c r="R4"/>
  <c r="Y4"/>
  <c r="Z4"/>
  <c r="AA4"/>
  <c r="AE4"/>
  <c r="AK4"/>
  <c r="M5"/>
  <c r="R5"/>
  <c r="Y5"/>
  <c r="Z5"/>
  <c r="AA5"/>
  <c r="AE5"/>
  <c r="M6"/>
  <c r="R6"/>
  <c r="Y6"/>
  <c r="Z6"/>
  <c r="AE6"/>
  <c r="M7"/>
  <c r="R7"/>
  <c r="S7"/>
  <c r="X7" s="1"/>
  <c r="Y7"/>
  <c r="Z7"/>
  <c r="AE7"/>
  <c r="M8"/>
  <c r="R8"/>
  <c r="Y8"/>
  <c r="Z8"/>
  <c r="AA8"/>
  <c r="AE8"/>
  <c r="M9"/>
  <c r="R9"/>
  <c r="Y9"/>
  <c r="Z9"/>
  <c r="AE9"/>
  <c r="M10"/>
  <c r="R10"/>
  <c r="Y10"/>
  <c r="Z10"/>
  <c r="AA10"/>
  <c r="AE10"/>
  <c r="AK10"/>
  <c r="M11"/>
  <c r="R11"/>
  <c r="S10"/>
  <c r="X10" s="1"/>
  <c r="Y11"/>
  <c r="Z11"/>
  <c r="AA11"/>
  <c r="AE11"/>
  <c r="M12"/>
  <c r="R12"/>
  <c r="Y12"/>
  <c r="Z12"/>
  <c r="AA12"/>
  <c r="AE12"/>
  <c r="AK12"/>
  <c r="M13"/>
  <c r="N7"/>
  <c r="W7" s="1"/>
  <c r="R13"/>
  <c r="Y13"/>
  <c r="Z13"/>
  <c r="AA13"/>
  <c r="AE13"/>
  <c r="AK13"/>
  <c r="M14"/>
  <c r="R14"/>
  <c r="S14"/>
  <c r="X14" s="1"/>
  <c r="Y14"/>
  <c r="Z14"/>
  <c r="AE14"/>
  <c r="M15"/>
  <c r="R15"/>
  <c r="Y15"/>
  <c r="Z15"/>
  <c r="AA15"/>
  <c r="AE15"/>
  <c r="M16"/>
  <c r="R16"/>
  <c r="Y16"/>
  <c r="Z16"/>
  <c r="AA16"/>
  <c r="AE16"/>
  <c r="M17"/>
  <c r="N17"/>
  <c r="W17" s="1"/>
  <c r="R17"/>
  <c r="Y17"/>
  <c r="Z17"/>
  <c r="AA17"/>
  <c r="AE17"/>
  <c r="AK17"/>
  <c r="M18"/>
  <c r="R18"/>
  <c r="Y18"/>
  <c r="Z18"/>
  <c r="AA18"/>
  <c r="AE18"/>
  <c r="M19"/>
  <c r="R19"/>
  <c r="S19"/>
  <c r="X19" s="1"/>
  <c r="Y19"/>
  <c r="Z19"/>
  <c r="AA19"/>
  <c r="AE19"/>
  <c r="M20"/>
  <c r="R20"/>
  <c r="S20"/>
  <c r="X20" s="1"/>
  <c r="Y20"/>
  <c r="Z20"/>
  <c r="AA20"/>
  <c r="AE20"/>
  <c r="M21"/>
  <c r="N21"/>
  <c r="W21" s="1"/>
  <c r="R21"/>
  <c r="Y21"/>
  <c r="Z21"/>
  <c r="AA21"/>
  <c r="AE21"/>
  <c r="M22"/>
  <c r="N22"/>
  <c r="W22" s="1"/>
  <c r="R22"/>
  <c r="Y22"/>
  <c r="Z22"/>
  <c r="AA22"/>
  <c r="AE22"/>
  <c r="M23"/>
  <c r="N23"/>
  <c r="W23" s="1"/>
  <c r="R23"/>
  <c r="Y23"/>
  <c r="Z23"/>
  <c r="AA23"/>
  <c r="AE23"/>
  <c r="AK23"/>
  <c r="M24"/>
  <c r="R24"/>
  <c r="S24"/>
  <c r="X24" s="1"/>
  <c r="Y24"/>
  <c r="Z24"/>
  <c r="AA24"/>
  <c r="AE24"/>
  <c r="M25"/>
  <c r="R25"/>
  <c r="Y25"/>
  <c r="Z25"/>
  <c r="AA25"/>
  <c r="AE25"/>
  <c r="M26"/>
  <c r="R26"/>
  <c r="S26"/>
  <c r="X26" s="1"/>
  <c r="Y26"/>
  <c r="Z26"/>
  <c r="AA26"/>
  <c r="AE26"/>
  <c r="M27"/>
  <c r="R27"/>
  <c r="Y27"/>
  <c r="Z27"/>
  <c r="AA27"/>
  <c r="AE27"/>
  <c r="M28"/>
  <c r="R28"/>
  <c r="S28"/>
  <c r="X28" s="1"/>
  <c r="Y28"/>
  <c r="Z28"/>
  <c r="AA28"/>
  <c r="AE28"/>
  <c r="AK28"/>
  <c r="M29"/>
  <c r="R29"/>
  <c r="Y29"/>
  <c r="Z29"/>
  <c r="AA29"/>
  <c r="AE29"/>
  <c r="M30"/>
  <c r="R30"/>
  <c r="Y30"/>
  <c r="Z30"/>
  <c r="AA30"/>
  <c r="AE30"/>
  <c r="M31"/>
  <c r="N31"/>
  <c r="W31" s="1"/>
  <c r="R31"/>
  <c r="Y31"/>
  <c r="Z31"/>
  <c r="AE31"/>
  <c r="M32"/>
  <c r="R32"/>
  <c r="S32"/>
  <c r="X32" s="1"/>
  <c r="Y32"/>
  <c r="Z32"/>
  <c r="AA32"/>
  <c r="AE32"/>
  <c r="AK32"/>
  <c r="M33"/>
  <c r="R33"/>
  <c r="S33"/>
  <c r="X33" s="1"/>
  <c r="Y33"/>
  <c r="Z33"/>
  <c r="AA33"/>
  <c r="AE33"/>
  <c r="AK33"/>
  <c r="M34"/>
  <c r="N33"/>
  <c r="W33" s="1"/>
  <c r="N34"/>
  <c r="W34" s="1"/>
  <c r="R34"/>
  <c r="Y34"/>
  <c r="Z34"/>
  <c r="AA34"/>
  <c r="AK34"/>
  <c r="M35"/>
  <c r="N35"/>
  <c r="W35" s="1"/>
  <c r="R35"/>
  <c r="Y35"/>
  <c r="Z35"/>
  <c r="AA35"/>
  <c r="AE35"/>
  <c r="M36"/>
  <c r="N36"/>
  <c r="W36" s="1"/>
  <c r="R36"/>
  <c r="Y36"/>
  <c r="Z36"/>
  <c r="AA36"/>
  <c r="AE36"/>
  <c r="M37"/>
  <c r="R37"/>
  <c r="S37"/>
  <c r="X37" s="1"/>
  <c r="AL37" s="1"/>
  <c r="W37"/>
  <c r="Y37"/>
  <c r="Z37"/>
  <c r="M38"/>
  <c r="R38"/>
  <c r="W38"/>
  <c r="Y38"/>
  <c r="Z38"/>
  <c r="M39"/>
  <c r="R39"/>
  <c r="S39"/>
  <c r="X39" s="1"/>
  <c r="AL39" s="1"/>
  <c r="W39"/>
  <c r="Y39"/>
  <c r="Z39"/>
  <c r="M40"/>
  <c r="R40"/>
  <c r="S40"/>
  <c r="X40" s="1"/>
  <c r="AL40" s="1"/>
  <c r="W40"/>
  <c r="Y40"/>
  <c r="Z40"/>
  <c r="M41"/>
  <c r="R41"/>
  <c r="AL41"/>
  <c r="M42"/>
  <c r="R42"/>
  <c r="AL42"/>
  <c r="M43"/>
  <c r="R43"/>
  <c r="AL43"/>
  <c r="M44"/>
  <c r="R44"/>
  <c r="AL44"/>
  <c r="M45"/>
  <c r="R45"/>
  <c r="AL45"/>
  <c r="M46"/>
  <c r="R46"/>
  <c r="AL46"/>
  <c r="M47"/>
  <c r="R47"/>
  <c r="AL47"/>
  <c r="M48"/>
  <c r="R48"/>
  <c r="AL48"/>
  <c r="M49"/>
  <c r="R49"/>
  <c r="AL49"/>
  <c r="M50"/>
  <c r="R50"/>
  <c r="AL50"/>
  <c r="M51"/>
  <c r="R51"/>
  <c r="AL51"/>
  <c r="M52"/>
  <c r="R52"/>
  <c r="AL52"/>
  <c r="M53"/>
  <c r="R53"/>
  <c r="AL53"/>
  <c r="M54"/>
  <c r="R54"/>
  <c r="AL54"/>
  <c r="M55"/>
  <c r="R55"/>
  <c r="AL55"/>
  <c r="M56"/>
  <c r="R56"/>
  <c r="AL56"/>
  <c r="M57"/>
  <c r="R57"/>
  <c r="AL57"/>
  <c r="M58"/>
  <c r="R58"/>
  <c r="AL58"/>
  <c r="AF2" i="5"/>
  <c r="H3"/>
  <c r="I3"/>
  <c r="Q3"/>
  <c r="N3"/>
  <c r="S3"/>
  <c r="T3"/>
  <c r="AI3"/>
  <c r="AE3"/>
  <c r="H4"/>
  <c r="I4"/>
  <c r="Q4"/>
  <c r="N4"/>
  <c r="S4"/>
  <c r="T4"/>
  <c r="AI4"/>
  <c r="AE4"/>
  <c r="H5"/>
  <c r="I5"/>
  <c r="Q5"/>
  <c r="N5"/>
  <c r="S5"/>
  <c r="T5"/>
  <c r="AI5"/>
  <c r="AE5"/>
  <c r="H6"/>
  <c r="I6"/>
  <c r="Q6"/>
  <c r="N6"/>
  <c r="S6"/>
  <c r="T6"/>
  <c r="AI6"/>
  <c r="AE6"/>
  <c r="H7"/>
  <c r="I7"/>
  <c r="Q7"/>
  <c r="N7"/>
  <c r="S7"/>
  <c r="T7"/>
  <c r="AI7"/>
  <c r="AE7"/>
  <c r="H8"/>
  <c r="I8"/>
  <c r="Q8"/>
  <c r="N8"/>
  <c r="S8"/>
  <c r="T8"/>
  <c r="AI8"/>
  <c r="AE8"/>
  <c r="H9"/>
  <c r="I9"/>
  <c r="Q9"/>
  <c r="N9"/>
  <c r="S9"/>
  <c r="T9"/>
  <c r="AI9"/>
  <c r="AE9"/>
  <c r="H10"/>
  <c r="I10"/>
  <c r="Q10"/>
  <c r="N10"/>
  <c r="S10"/>
  <c r="T10"/>
  <c r="AI10"/>
  <c r="AE10"/>
  <c r="H11"/>
  <c r="I11"/>
  <c r="Q11"/>
  <c r="N11"/>
  <c r="S11"/>
  <c r="T11"/>
  <c r="AI11"/>
  <c r="AE11"/>
  <c r="H12"/>
  <c r="I12"/>
  <c r="Q12"/>
  <c r="N12"/>
  <c r="S12"/>
  <c r="T12"/>
  <c r="AI12"/>
  <c r="AE12"/>
  <c r="H13"/>
  <c r="I13"/>
  <c r="Q13"/>
  <c r="N13"/>
  <c r="S13"/>
  <c r="T13"/>
  <c r="AI13"/>
  <c r="AE13"/>
  <c r="H14"/>
  <c r="I14"/>
  <c r="Q14"/>
  <c r="N14"/>
  <c r="S14"/>
  <c r="T14"/>
  <c r="AI14"/>
  <c r="AE14"/>
  <c r="H15"/>
  <c r="I15"/>
  <c r="Q15"/>
  <c r="N15"/>
  <c r="S15"/>
  <c r="T15"/>
  <c r="AI15"/>
  <c r="AE15"/>
  <c r="H16"/>
  <c r="I16"/>
  <c r="Q16"/>
  <c r="N16"/>
  <c r="S16"/>
  <c r="T16"/>
  <c r="AI16"/>
  <c r="AE16"/>
  <c r="H17"/>
  <c r="I17"/>
  <c r="Q17"/>
  <c r="N17"/>
  <c r="S17"/>
  <c r="T17"/>
  <c r="AI17"/>
  <c r="AE17"/>
  <c r="H18"/>
  <c r="I18"/>
  <c r="Q18"/>
  <c r="N18"/>
  <c r="S18"/>
  <c r="T18"/>
  <c r="AI18"/>
  <c r="AE18"/>
  <c r="H19"/>
  <c r="I19"/>
  <c r="Q19"/>
  <c r="N19"/>
  <c r="S19"/>
  <c r="T19"/>
  <c r="AI19"/>
  <c r="AE19"/>
  <c r="H20"/>
  <c r="I20"/>
  <c r="Q20"/>
  <c r="N20"/>
  <c r="O20"/>
  <c r="R20"/>
  <c r="S20"/>
  <c r="T20"/>
  <c r="AI20"/>
  <c r="AE20"/>
  <c r="H21"/>
  <c r="N21"/>
  <c r="S21"/>
  <c r="T21"/>
  <c r="AI21"/>
  <c r="AE21"/>
  <c r="H22"/>
  <c r="N22"/>
  <c r="S22"/>
  <c r="T22"/>
  <c r="AI22"/>
  <c r="AE22"/>
  <c r="H23"/>
  <c r="N23"/>
  <c r="S23"/>
  <c r="T23"/>
  <c r="AI23"/>
  <c r="AE23"/>
  <c r="H24"/>
  <c r="N24"/>
  <c r="S24"/>
  <c r="T24"/>
  <c r="AI24"/>
  <c r="AE24"/>
  <c r="H25"/>
  <c r="N25"/>
  <c r="S25"/>
  <c r="T25"/>
  <c r="AI25"/>
  <c r="AE25"/>
  <c r="H26"/>
  <c r="N26"/>
  <c r="O26"/>
  <c r="R26"/>
  <c r="S26"/>
  <c r="T26"/>
  <c r="AI26"/>
  <c r="AE26"/>
  <c r="H27"/>
  <c r="I27"/>
  <c r="Q27"/>
  <c r="N27"/>
  <c r="S27"/>
  <c r="T27"/>
  <c r="AI27"/>
  <c r="AE27"/>
  <c r="AF2" i="7"/>
  <c r="H3"/>
  <c r="N3"/>
  <c r="S3"/>
  <c r="T3"/>
  <c r="AJ3"/>
  <c r="H4"/>
  <c r="N4"/>
  <c r="S4"/>
  <c r="T4"/>
  <c r="AJ4"/>
  <c r="H5"/>
  <c r="N5"/>
  <c r="S5"/>
  <c r="T5"/>
  <c r="AJ5"/>
  <c r="H6"/>
  <c r="N6"/>
  <c r="O13"/>
  <c r="R13"/>
  <c r="S6"/>
  <c r="T6"/>
  <c r="AJ6"/>
  <c r="H7"/>
  <c r="I11"/>
  <c r="Q11"/>
  <c r="AF11"/>
  <c r="N7"/>
  <c r="S7"/>
  <c r="T7"/>
  <c r="AJ7"/>
  <c r="H8"/>
  <c r="N8"/>
  <c r="S8"/>
  <c r="T8"/>
  <c r="AJ8"/>
  <c r="H9"/>
  <c r="N9"/>
  <c r="S9"/>
  <c r="T9"/>
  <c r="AJ9"/>
  <c r="H10"/>
  <c r="N10"/>
  <c r="S10"/>
  <c r="T10"/>
  <c r="AJ10"/>
  <c r="H11"/>
  <c r="AI11"/>
  <c r="N11"/>
  <c r="S11"/>
  <c r="T11"/>
  <c r="AJ11"/>
  <c r="H12"/>
  <c r="N12"/>
  <c r="S12"/>
  <c r="T12"/>
  <c r="AI12"/>
  <c r="AJ12"/>
  <c r="H13"/>
  <c r="N13"/>
  <c r="S13"/>
  <c r="T13"/>
  <c r="AJ13"/>
  <c r="H14"/>
  <c r="N14"/>
  <c r="S14"/>
  <c r="T14"/>
  <c r="AJ14"/>
  <c r="H15"/>
  <c r="AI15"/>
  <c r="N15"/>
  <c r="S15"/>
  <c r="T15"/>
  <c r="AJ15"/>
  <c r="H16"/>
  <c r="N16"/>
  <c r="S16"/>
  <c r="T16"/>
  <c r="AI16"/>
  <c r="AJ16"/>
  <c r="H17"/>
  <c r="N17"/>
  <c r="S17"/>
  <c r="T17"/>
  <c r="AJ17"/>
  <c r="H18"/>
  <c r="N18"/>
  <c r="S18"/>
  <c r="T18"/>
  <c r="AJ18"/>
  <c r="H19"/>
  <c r="N19"/>
  <c r="S19"/>
  <c r="T19"/>
  <c r="AJ19"/>
  <c r="H20"/>
  <c r="N20"/>
  <c r="S20"/>
  <c r="T20"/>
  <c r="AJ20"/>
  <c r="H21"/>
  <c r="N21"/>
  <c r="S21"/>
  <c r="AJ21"/>
  <c r="U23"/>
  <c r="V23"/>
  <c r="W23"/>
  <c r="X23"/>
  <c r="Y23"/>
  <c r="Z23"/>
  <c r="AA23"/>
  <c r="AB23"/>
  <c r="AC23"/>
  <c r="AD23"/>
  <c r="AE23"/>
  <c r="AF2" i="8"/>
  <c r="G3"/>
  <c r="M3"/>
  <c r="R3"/>
  <c r="S3"/>
  <c r="AJ3"/>
  <c r="G4"/>
  <c r="M4"/>
  <c r="R4"/>
  <c r="S4"/>
  <c r="AJ4"/>
  <c r="G5"/>
  <c r="M5"/>
  <c r="R5"/>
  <c r="S5"/>
  <c r="AJ5"/>
  <c r="G6"/>
  <c r="M6"/>
  <c r="R6"/>
  <c r="S6"/>
  <c r="AJ6"/>
  <c r="G7"/>
  <c r="M7"/>
  <c r="R7"/>
  <c r="S7"/>
  <c r="AJ7"/>
  <c r="G8"/>
  <c r="M8"/>
  <c r="N5"/>
  <c r="Q5"/>
  <c r="R8"/>
  <c r="S8"/>
  <c r="AJ8"/>
  <c r="G9"/>
  <c r="M9"/>
  <c r="R9"/>
  <c r="S9"/>
  <c r="AJ9"/>
  <c r="G10"/>
  <c r="M10"/>
  <c r="R10"/>
  <c r="S10"/>
  <c r="AJ10"/>
  <c r="G11"/>
  <c r="M11"/>
  <c r="N16"/>
  <c r="Q16"/>
  <c r="R11"/>
  <c r="S11"/>
  <c r="AJ11"/>
  <c r="G12"/>
  <c r="M12"/>
  <c r="R12"/>
  <c r="S12"/>
  <c r="AJ12"/>
  <c r="G13"/>
  <c r="M13"/>
  <c r="R13"/>
  <c r="S13"/>
  <c r="AJ13"/>
  <c r="G14"/>
  <c r="M14"/>
  <c r="R14"/>
  <c r="S14"/>
  <c r="AJ14"/>
  <c r="G15"/>
  <c r="M15"/>
  <c r="R15"/>
  <c r="S15"/>
  <c r="AJ15"/>
  <c r="G16"/>
  <c r="M16"/>
  <c r="R16"/>
  <c r="S16"/>
  <c r="AJ16"/>
  <c r="G17"/>
  <c r="M17"/>
  <c r="R17"/>
  <c r="S17"/>
  <c r="AJ17"/>
  <c r="G18"/>
  <c r="AI12"/>
  <c r="M18"/>
  <c r="R18"/>
  <c r="S18"/>
  <c r="AJ18"/>
  <c r="G19"/>
  <c r="M19"/>
  <c r="R19"/>
  <c r="S19"/>
  <c r="AJ19"/>
  <c r="G20"/>
  <c r="AI21"/>
  <c r="M20"/>
  <c r="N20"/>
  <c r="Q20"/>
  <c r="R20"/>
  <c r="S20"/>
  <c r="AI20"/>
  <c r="AJ20"/>
  <c r="G21"/>
  <c r="M21"/>
  <c r="R21"/>
  <c r="S21"/>
  <c r="AJ21"/>
  <c r="G22"/>
  <c r="M22"/>
  <c r="N22"/>
  <c r="Q22"/>
  <c r="R22"/>
  <c r="S22"/>
  <c r="AJ22"/>
  <c r="G23"/>
  <c r="H23"/>
  <c r="P23"/>
  <c r="M23"/>
  <c r="R23"/>
  <c r="S23"/>
  <c r="AJ23"/>
  <c r="G24"/>
  <c r="AI24"/>
  <c r="M24"/>
  <c r="N24"/>
  <c r="Q24"/>
  <c r="R24"/>
  <c r="S24"/>
  <c r="AJ24"/>
  <c r="S26"/>
  <c r="T26"/>
  <c r="U26"/>
  <c r="V26"/>
  <c r="W26"/>
  <c r="X26"/>
  <c r="Y26"/>
  <c r="Z26"/>
  <c r="AA26"/>
  <c r="AB26"/>
  <c r="AC26"/>
  <c r="AD26"/>
  <c r="AE26"/>
  <c r="AJ2" i="9"/>
  <c r="I3"/>
  <c r="K3"/>
  <c r="V3"/>
  <c r="V31"/>
  <c r="P3"/>
  <c r="R3"/>
  <c r="W3"/>
  <c r="AC3"/>
  <c r="AS3"/>
  <c r="AX3"/>
  <c r="BC3"/>
  <c r="BC31"/>
  <c r="BH3"/>
  <c r="I4"/>
  <c r="K4"/>
  <c r="P4"/>
  <c r="Q3"/>
  <c r="U3"/>
  <c r="R4"/>
  <c r="AC4"/>
  <c r="AS4"/>
  <c r="AX4"/>
  <c r="BC4"/>
  <c r="BH4"/>
  <c r="I5"/>
  <c r="J3"/>
  <c r="K5"/>
  <c r="V5"/>
  <c r="P5"/>
  <c r="R5"/>
  <c r="W5"/>
  <c r="AC5"/>
  <c r="AS5"/>
  <c r="AX5"/>
  <c r="BC5"/>
  <c r="BH5"/>
  <c r="I6"/>
  <c r="K6"/>
  <c r="V6"/>
  <c r="P6"/>
  <c r="R6"/>
  <c r="W6"/>
  <c r="AJ6"/>
  <c r="AC6"/>
  <c r="AS6"/>
  <c r="AX6"/>
  <c r="BC6"/>
  <c r="BH6"/>
  <c r="I7"/>
  <c r="J15"/>
  <c r="K7"/>
  <c r="V7"/>
  <c r="P7"/>
  <c r="R7"/>
  <c r="W7"/>
  <c r="AC7"/>
  <c r="AS7"/>
  <c r="AX7"/>
  <c r="BC7"/>
  <c r="BH7"/>
  <c r="I8"/>
  <c r="K8"/>
  <c r="V8"/>
  <c r="P8"/>
  <c r="R8"/>
  <c r="W8"/>
  <c r="AC8"/>
  <c r="AS8"/>
  <c r="AX8"/>
  <c r="BC8"/>
  <c r="BH8"/>
  <c r="BH31"/>
  <c r="I9"/>
  <c r="K9"/>
  <c r="V9"/>
  <c r="P9"/>
  <c r="R9"/>
  <c r="AC9"/>
  <c r="AS9"/>
  <c r="AX9"/>
  <c r="BC9"/>
  <c r="BH9"/>
  <c r="I10"/>
  <c r="K10"/>
  <c r="V10"/>
  <c r="P10"/>
  <c r="R10"/>
  <c r="W10"/>
  <c r="AC10"/>
  <c r="AI10"/>
  <c r="AI31"/>
  <c r="AS10"/>
  <c r="AX10"/>
  <c r="BC10"/>
  <c r="BH10"/>
  <c r="I11"/>
  <c r="K11"/>
  <c r="P11"/>
  <c r="R11"/>
  <c r="V11"/>
  <c r="W11"/>
  <c r="AC11"/>
  <c r="AS11"/>
  <c r="AX11"/>
  <c r="BC11"/>
  <c r="BH11"/>
  <c r="I12"/>
  <c r="K12"/>
  <c r="V12"/>
  <c r="P12"/>
  <c r="R12"/>
  <c r="W12"/>
  <c r="AC12"/>
  <c r="AI12"/>
  <c r="AS12"/>
  <c r="AX12"/>
  <c r="BC12"/>
  <c r="BH12"/>
  <c r="I13"/>
  <c r="K13"/>
  <c r="P13"/>
  <c r="R13"/>
  <c r="W13"/>
  <c r="V13"/>
  <c r="AC13"/>
  <c r="AI13"/>
  <c r="AS13"/>
  <c r="AX13"/>
  <c r="BC13"/>
  <c r="BH13"/>
  <c r="I14"/>
  <c r="K14"/>
  <c r="P14"/>
  <c r="R14"/>
  <c r="W14"/>
  <c r="V14"/>
  <c r="AC14"/>
  <c r="AS14"/>
  <c r="AX14"/>
  <c r="BC14"/>
  <c r="BH14"/>
  <c r="I15"/>
  <c r="K15"/>
  <c r="V15"/>
  <c r="P15"/>
  <c r="R15"/>
  <c r="W15"/>
  <c r="AC15"/>
  <c r="AI15"/>
  <c r="AS15"/>
  <c r="AX15"/>
  <c r="BC15"/>
  <c r="BH15"/>
  <c r="I16"/>
  <c r="K16"/>
  <c r="V16"/>
  <c r="P16"/>
  <c r="R16"/>
  <c r="W16"/>
  <c r="AC16"/>
  <c r="AS16"/>
  <c r="AX16"/>
  <c r="BC16"/>
  <c r="BH16"/>
  <c r="I17"/>
  <c r="K17"/>
  <c r="V17"/>
  <c r="P17"/>
  <c r="R17"/>
  <c r="W17"/>
  <c r="AC17"/>
  <c r="AS17"/>
  <c r="AX17"/>
  <c r="BC17"/>
  <c r="BH17"/>
  <c r="I18"/>
  <c r="K18"/>
  <c r="V18"/>
  <c r="P18"/>
  <c r="R18"/>
  <c r="W18"/>
  <c r="AC18"/>
  <c r="AI18"/>
  <c r="AS18"/>
  <c r="AX18"/>
  <c r="BC18"/>
  <c r="BH18"/>
  <c r="I19"/>
  <c r="K19"/>
  <c r="P19"/>
  <c r="R19"/>
  <c r="W19"/>
  <c r="V19"/>
  <c r="AC19"/>
  <c r="AS19"/>
  <c r="AX19"/>
  <c r="BC19"/>
  <c r="BH19"/>
  <c r="I20"/>
  <c r="K20"/>
  <c r="V20"/>
  <c r="P20"/>
  <c r="R20"/>
  <c r="W20"/>
  <c r="AC20"/>
  <c r="AS20"/>
  <c r="AX20"/>
  <c r="BC20"/>
  <c r="BH20"/>
  <c r="I21"/>
  <c r="K21"/>
  <c r="V21"/>
  <c r="P21"/>
  <c r="R21"/>
  <c r="W21"/>
  <c r="AC21"/>
  <c r="AS21"/>
  <c r="AX21"/>
  <c r="BC21"/>
  <c r="BH21"/>
  <c r="I22"/>
  <c r="K22"/>
  <c r="V22"/>
  <c r="P22"/>
  <c r="R22"/>
  <c r="W22"/>
  <c r="AC22"/>
  <c r="AS22"/>
  <c r="AX22"/>
  <c r="BC22"/>
  <c r="BH22"/>
  <c r="F31"/>
  <c r="G31"/>
  <c r="H31"/>
  <c r="L31"/>
  <c r="M31"/>
  <c r="N31"/>
  <c r="O31"/>
  <c r="S31"/>
  <c r="X31"/>
  <c r="Y31"/>
  <c r="Z31"/>
  <c r="AA31"/>
  <c r="AB31"/>
  <c r="AD31"/>
  <c r="AE31"/>
  <c r="AF31"/>
  <c r="AG31"/>
  <c r="AH31"/>
  <c r="AL31"/>
  <c r="AO31"/>
  <c r="AP31"/>
  <c r="AQ31"/>
  <c r="AR31"/>
  <c r="AT31"/>
  <c r="AU31"/>
  <c r="AV31"/>
  <c r="AW31"/>
  <c r="AY31"/>
  <c r="AZ31"/>
  <c r="BA31"/>
  <c r="BB31"/>
  <c r="BD31"/>
  <c r="BE31"/>
  <c r="BF31"/>
  <c r="BG31"/>
  <c r="AI2" i="13"/>
  <c r="H3"/>
  <c r="J3"/>
  <c r="U3"/>
  <c r="O3"/>
  <c r="Q3"/>
  <c r="V3"/>
  <c r="AS3"/>
  <c r="AX3"/>
  <c r="BC3"/>
  <c r="BH3"/>
  <c r="H4"/>
  <c r="J4"/>
  <c r="U4"/>
  <c r="U34"/>
  <c r="O4"/>
  <c r="Q4"/>
  <c r="V4"/>
  <c r="AS4"/>
  <c r="AX4"/>
  <c r="BC4"/>
  <c r="BH4"/>
  <c r="H5"/>
  <c r="J5"/>
  <c r="U5"/>
  <c r="O5"/>
  <c r="Q5"/>
  <c r="V5"/>
  <c r="AS5"/>
  <c r="AX5"/>
  <c r="BC5"/>
  <c r="BH5"/>
  <c r="H6"/>
  <c r="I15"/>
  <c r="J6"/>
  <c r="U6"/>
  <c r="O6"/>
  <c r="Q6"/>
  <c r="V6"/>
  <c r="AS6"/>
  <c r="AX6"/>
  <c r="BC6"/>
  <c r="BH6"/>
  <c r="H7"/>
  <c r="J7"/>
  <c r="U7"/>
  <c r="O7"/>
  <c r="Q7"/>
  <c r="V7"/>
  <c r="AI7"/>
  <c r="AS7"/>
  <c r="AX7"/>
  <c r="BC7"/>
  <c r="BH7"/>
  <c r="H8"/>
  <c r="J8"/>
  <c r="U8"/>
  <c r="O8"/>
  <c r="P8"/>
  <c r="T8"/>
  <c r="Q8"/>
  <c r="V8"/>
  <c r="AS8"/>
  <c r="AX8"/>
  <c r="BC8"/>
  <c r="BH8"/>
  <c r="H9"/>
  <c r="J9"/>
  <c r="U9"/>
  <c r="O9"/>
  <c r="Q9"/>
  <c r="V9"/>
  <c r="AS9"/>
  <c r="AX9"/>
  <c r="BC9"/>
  <c r="BH9"/>
  <c r="H10"/>
  <c r="J10"/>
  <c r="U10"/>
  <c r="O10"/>
  <c r="Q10"/>
  <c r="V10"/>
  <c r="AS10"/>
  <c r="AX10"/>
  <c r="BC10"/>
  <c r="BH10"/>
  <c r="H11"/>
  <c r="J11"/>
  <c r="U11"/>
  <c r="O11"/>
  <c r="Q11"/>
  <c r="V11"/>
  <c r="AS11"/>
  <c r="AX11"/>
  <c r="BC11"/>
  <c r="BH11"/>
  <c r="H12"/>
  <c r="J12"/>
  <c r="O12"/>
  <c r="Q12"/>
  <c r="U12"/>
  <c r="V12"/>
  <c r="AS12"/>
  <c r="AX12"/>
  <c r="BC12"/>
  <c r="BH12"/>
  <c r="H13"/>
  <c r="J13"/>
  <c r="O13"/>
  <c r="P13"/>
  <c r="T13"/>
  <c r="AI13"/>
  <c r="Q13"/>
  <c r="U13"/>
  <c r="V13"/>
  <c r="AS13"/>
  <c r="AX13"/>
  <c r="BC13"/>
  <c r="BH13"/>
  <c r="H14"/>
  <c r="J14"/>
  <c r="U14"/>
  <c r="O14"/>
  <c r="P14"/>
  <c r="T14"/>
  <c r="Q14"/>
  <c r="V14"/>
  <c r="AS14"/>
  <c r="AX14"/>
  <c r="BC14"/>
  <c r="BH14"/>
  <c r="H15"/>
  <c r="J15"/>
  <c r="U15"/>
  <c r="O15"/>
  <c r="Q15"/>
  <c r="V15"/>
  <c r="AS15"/>
  <c r="AX15"/>
  <c r="BC15"/>
  <c r="BH15"/>
  <c r="H16"/>
  <c r="I16"/>
  <c r="J16"/>
  <c r="O16"/>
  <c r="Q16"/>
  <c r="V16"/>
  <c r="U16"/>
  <c r="AS16"/>
  <c r="AX16"/>
  <c r="BC16"/>
  <c r="BH16"/>
  <c r="H17"/>
  <c r="J17"/>
  <c r="O17"/>
  <c r="Q17"/>
  <c r="U17"/>
  <c r="V17"/>
  <c r="AS17"/>
  <c r="AX17"/>
  <c r="BC17"/>
  <c r="BH17"/>
  <c r="H18"/>
  <c r="H34"/>
  <c r="J18"/>
  <c r="U18"/>
  <c r="O18"/>
  <c r="P17"/>
  <c r="T17"/>
  <c r="Q18"/>
  <c r="V18"/>
  <c r="AS18"/>
  <c r="AX18"/>
  <c r="BC18"/>
  <c r="BH18"/>
  <c r="H19"/>
  <c r="I19"/>
  <c r="AL19"/>
  <c r="J19"/>
  <c r="O19"/>
  <c r="P18"/>
  <c r="T18"/>
  <c r="Q19"/>
  <c r="V19"/>
  <c r="U19"/>
  <c r="AS19"/>
  <c r="AX19"/>
  <c r="BC19"/>
  <c r="BH19"/>
  <c r="AL21"/>
  <c r="E34"/>
  <c r="F34"/>
  <c r="G34"/>
  <c r="J34"/>
  <c r="K34"/>
  <c r="L34"/>
  <c r="M34"/>
  <c r="N34"/>
  <c r="R34"/>
  <c r="W34"/>
  <c r="X34"/>
  <c r="Y34"/>
  <c r="Z34"/>
  <c r="AA34"/>
  <c r="AB34"/>
  <c r="AC34"/>
  <c r="AD34"/>
  <c r="AE34"/>
  <c r="AF34"/>
  <c r="AG34"/>
  <c r="AH34"/>
  <c r="AK34"/>
  <c r="AO34"/>
  <c r="AP34"/>
  <c r="AQ34"/>
  <c r="AR34"/>
  <c r="AT34"/>
  <c r="AU34"/>
  <c r="AV34"/>
  <c r="AW34"/>
  <c r="AX34"/>
  <c r="AY34"/>
  <c r="AZ34"/>
  <c r="BA34"/>
  <c r="BB34"/>
  <c r="BD34"/>
  <c r="BE34"/>
  <c r="BF34"/>
  <c r="BG34"/>
  <c r="S16"/>
  <c r="T15" i="9"/>
  <c r="T3"/>
  <c r="J20"/>
  <c r="J22"/>
  <c r="J19"/>
  <c r="I4" i="13"/>
  <c r="H14" i="8"/>
  <c r="P14"/>
  <c r="AI14"/>
  <c r="H6"/>
  <c r="P6"/>
  <c r="AI6"/>
  <c r="H22"/>
  <c r="P22"/>
  <c r="AF22"/>
  <c r="AI22"/>
  <c r="H3"/>
  <c r="P3"/>
  <c r="AI5"/>
  <c r="I18" i="7"/>
  <c r="Q18"/>
  <c r="AI18"/>
  <c r="I14"/>
  <c r="Q14"/>
  <c r="AF14"/>
  <c r="AI14"/>
  <c r="I10"/>
  <c r="Q10"/>
  <c r="AI10"/>
  <c r="I6"/>
  <c r="Q6"/>
  <c r="AI6"/>
  <c r="BH34" i="13"/>
  <c r="Q20" i="9"/>
  <c r="U20"/>
  <c r="J14"/>
  <c r="Q7"/>
  <c r="U7"/>
  <c r="O5" i="7"/>
  <c r="R5"/>
  <c r="O18" i="5"/>
  <c r="R18"/>
  <c r="AF18"/>
  <c r="O12"/>
  <c r="R12"/>
  <c r="AF12"/>
  <c r="O10"/>
  <c r="R10"/>
  <c r="O6"/>
  <c r="R6"/>
  <c r="AF6"/>
  <c r="AI19" i="13"/>
  <c r="AJ19"/>
  <c r="I13"/>
  <c r="I11"/>
  <c r="I5"/>
  <c r="Q34"/>
  <c r="I3"/>
  <c r="Q18" i="9"/>
  <c r="U18"/>
  <c r="Q10"/>
  <c r="U10"/>
  <c r="W9"/>
  <c r="J7"/>
  <c r="Q5"/>
  <c r="U5"/>
  <c r="AJ5"/>
  <c r="AC31"/>
  <c r="S35" i="11"/>
  <c r="X35" s="1"/>
  <c r="S31"/>
  <c r="X31" s="1"/>
  <c r="S30"/>
  <c r="X30" s="1"/>
  <c r="S29"/>
  <c r="X29" s="1"/>
  <c r="N27"/>
  <c r="W27" s="1"/>
  <c r="N25"/>
  <c r="W25" s="1"/>
  <c r="N16"/>
  <c r="W16" s="1"/>
  <c r="N15"/>
  <c r="W15" s="1"/>
  <c r="N12"/>
  <c r="W12" s="1"/>
  <c r="AL12" s="1"/>
  <c r="S6"/>
  <c r="X6" s="1"/>
  <c r="S5"/>
  <c r="X5" s="1"/>
  <c r="S18"/>
  <c r="X18" s="1"/>
  <c r="N3"/>
  <c r="W3" s="1"/>
  <c r="P9" i="13"/>
  <c r="T9"/>
  <c r="Q22" i="9"/>
  <c r="U22"/>
  <c r="J21"/>
  <c r="Q16"/>
  <c r="U16"/>
  <c r="Q14"/>
  <c r="U14"/>
  <c r="Q8"/>
  <c r="U8"/>
  <c r="J5"/>
  <c r="AX31"/>
  <c r="J4"/>
  <c r="AS31"/>
  <c r="J12"/>
  <c r="H19" i="8"/>
  <c r="P19"/>
  <c r="N18"/>
  <c r="Q18"/>
  <c r="H15"/>
  <c r="P15"/>
  <c r="N14"/>
  <c r="Q14"/>
  <c r="H11"/>
  <c r="P11"/>
  <c r="N10"/>
  <c r="Q10"/>
  <c r="H7"/>
  <c r="P7"/>
  <c r="N6"/>
  <c r="Q6"/>
  <c r="O20" i="7"/>
  <c r="R20"/>
  <c r="O16"/>
  <c r="R16"/>
  <c r="O12"/>
  <c r="R12"/>
  <c r="O8"/>
  <c r="R8"/>
  <c r="O4"/>
  <c r="R4"/>
  <c r="S27" i="11"/>
  <c r="X27" s="1"/>
  <c r="S25"/>
  <c r="X25" s="1"/>
  <c r="S23"/>
  <c r="X23" s="1"/>
  <c r="N20"/>
  <c r="W20" s="1"/>
  <c r="N19"/>
  <c r="W19" s="1"/>
  <c r="AL19" s="1"/>
  <c r="N18"/>
  <c r="W18" s="1"/>
  <c r="S16"/>
  <c r="X16" s="1"/>
  <c r="N14"/>
  <c r="W14" s="1"/>
  <c r="N13"/>
  <c r="W13" s="1"/>
  <c r="S12"/>
  <c r="X12" s="1"/>
  <c r="S11"/>
  <c r="X11" s="1"/>
  <c r="N9"/>
  <c r="W9" s="1"/>
  <c r="H18" i="8"/>
  <c r="P18"/>
  <c r="AF18"/>
  <c r="AI18"/>
  <c r="H10"/>
  <c r="P10"/>
  <c r="AF10"/>
  <c r="AI10"/>
  <c r="AI9"/>
  <c r="AI13"/>
  <c r="AI17"/>
  <c r="V4" i="9"/>
  <c r="K31"/>
  <c r="J11"/>
  <c r="J9"/>
  <c r="J8"/>
  <c r="O17" i="7"/>
  <c r="R17"/>
  <c r="O9"/>
  <c r="R9"/>
  <c r="O24" i="5"/>
  <c r="R24"/>
  <c r="O22"/>
  <c r="R22"/>
  <c r="O16"/>
  <c r="R16"/>
  <c r="AF16"/>
  <c r="O14"/>
  <c r="R14"/>
  <c r="O8"/>
  <c r="R8"/>
  <c r="O4"/>
  <c r="R4"/>
  <c r="N4" i="11"/>
  <c r="W4" s="1"/>
  <c r="I12" i="13"/>
  <c r="P10"/>
  <c r="T10"/>
  <c r="J6" i="9"/>
  <c r="P19" i="13"/>
  <c r="I18"/>
  <c r="P15"/>
  <c r="T15"/>
  <c r="I14"/>
  <c r="I9"/>
  <c r="I8"/>
  <c r="I7"/>
  <c r="AL9"/>
  <c r="P6"/>
  <c r="T6"/>
  <c r="BC34"/>
  <c r="I31" i="9"/>
  <c r="Q19"/>
  <c r="U19"/>
  <c r="J18"/>
  <c r="Q17"/>
  <c r="U17"/>
  <c r="Q13"/>
  <c r="U13"/>
  <c r="Q11"/>
  <c r="U11"/>
  <c r="AJ11"/>
  <c r="J10"/>
  <c r="Q9"/>
  <c r="U9"/>
  <c r="Q6"/>
  <c r="U6"/>
  <c r="AI19" i="8"/>
  <c r="AI15"/>
  <c r="N15"/>
  <c r="Q15"/>
  <c r="AI11"/>
  <c r="N11"/>
  <c r="Q11"/>
  <c r="AF11"/>
  <c r="AI7"/>
  <c r="N7"/>
  <c r="Q7"/>
  <c r="AI3"/>
  <c r="N3"/>
  <c r="Q3"/>
  <c r="I17" i="7"/>
  <c r="Q17"/>
  <c r="AF17"/>
  <c r="I13"/>
  <c r="Q13"/>
  <c r="AF13"/>
  <c r="I9"/>
  <c r="Q9"/>
  <c r="I5"/>
  <c r="Q5"/>
  <c r="AF5"/>
  <c r="S23"/>
  <c r="O27" i="5"/>
  <c r="R27"/>
  <c r="AF27"/>
  <c r="AG27"/>
  <c r="O25"/>
  <c r="R25"/>
  <c r="O23"/>
  <c r="R23"/>
  <c r="O21"/>
  <c r="R21"/>
  <c r="AF20"/>
  <c r="O19"/>
  <c r="R19"/>
  <c r="AF19"/>
  <c r="O17"/>
  <c r="R17"/>
  <c r="AF17"/>
  <c r="O15"/>
  <c r="R15"/>
  <c r="AF15"/>
  <c r="AF14"/>
  <c r="O13"/>
  <c r="R13"/>
  <c r="AF13"/>
  <c r="O11"/>
  <c r="R11"/>
  <c r="AF11"/>
  <c r="AF10"/>
  <c r="O9"/>
  <c r="R9"/>
  <c r="AF9"/>
  <c r="AF8"/>
  <c r="O7"/>
  <c r="R7"/>
  <c r="AF7"/>
  <c r="AG7"/>
  <c r="O5"/>
  <c r="R5"/>
  <c r="AF5"/>
  <c r="AF4"/>
  <c r="O3"/>
  <c r="R3"/>
  <c r="AF3"/>
  <c r="S13" i="11"/>
  <c r="X13" s="1"/>
  <c r="S9"/>
  <c r="X9" s="1"/>
  <c r="S8"/>
  <c r="X8" s="1"/>
  <c r="N6"/>
  <c r="W6" s="1"/>
  <c r="N5"/>
  <c r="W5" s="1"/>
  <c r="S3"/>
  <c r="X3" s="1"/>
  <c r="P11" i="13"/>
  <c r="T11"/>
  <c r="P7"/>
  <c r="T7"/>
  <c r="P3"/>
  <c r="J13" i="9"/>
  <c r="P31"/>
  <c r="H24" i="8"/>
  <c r="P24"/>
  <c r="H20"/>
  <c r="P20"/>
  <c r="AF20"/>
  <c r="H16"/>
  <c r="P16"/>
  <c r="AF16"/>
  <c r="H12"/>
  <c r="P12"/>
  <c r="H8"/>
  <c r="P8"/>
  <c r="H4"/>
  <c r="P4"/>
  <c r="O19" i="7"/>
  <c r="R19"/>
  <c r="O15"/>
  <c r="R15"/>
  <c r="O11"/>
  <c r="R11"/>
  <c r="O7"/>
  <c r="R7"/>
  <c r="O3"/>
  <c r="R3"/>
  <c r="S36" i="11"/>
  <c r="X36" s="1"/>
  <c r="S34"/>
  <c r="X34" s="1"/>
  <c r="N32"/>
  <c r="W32" s="1"/>
  <c r="N30"/>
  <c r="W30" s="1"/>
  <c r="AL30" s="1"/>
  <c r="S22"/>
  <c r="X22" s="1"/>
  <c r="S17"/>
  <c r="X17" s="1"/>
  <c r="S15"/>
  <c r="X15" s="1"/>
  <c r="N11"/>
  <c r="W11" s="1"/>
  <c r="N10"/>
  <c r="W10" s="1"/>
  <c r="N8"/>
  <c r="W8" s="1"/>
  <c r="S4"/>
  <c r="X4" s="1"/>
  <c r="I10" i="13"/>
  <c r="I6"/>
  <c r="Q15" i="9"/>
  <c r="U15"/>
  <c r="Q4"/>
  <c r="U4"/>
  <c r="H21" i="8"/>
  <c r="P21"/>
  <c r="H17"/>
  <c r="P17"/>
  <c r="H13"/>
  <c r="P13"/>
  <c r="H9"/>
  <c r="P9"/>
  <c r="H5"/>
  <c r="P5"/>
  <c r="AF5"/>
  <c r="I21" i="7"/>
  <c r="Q21"/>
  <c r="O18"/>
  <c r="R18"/>
  <c r="AI17"/>
  <c r="O14"/>
  <c r="R14"/>
  <c r="AI13"/>
  <c r="O10"/>
  <c r="R10"/>
  <c r="AI9"/>
  <c r="O6"/>
  <c r="R6"/>
  <c r="AF6"/>
  <c r="AI5"/>
  <c r="S38" i="11"/>
  <c r="X38" s="1"/>
  <c r="AL38" s="1"/>
  <c r="N29"/>
  <c r="W29" s="1"/>
  <c r="N28"/>
  <c r="W28" s="1"/>
  <c r="N26"/>
  <c r="W26" s="1"/>
  <c r="N24"/>
  <c r="W24" s="1"/>
  <c r="S21"/>
  <c r="X21" s="1"/>
  <c r="AL6" i="13"/>
  <c r="S6"/>
  <c r="AI6"/>
  <c r="S9"/>
  <c r="AI9"/>
  <c r="T11" i="9"/>
  <c r="AM5"/>
  <c r="T5"/>
  <c r="S8" i="13"/>
  <c r="AI8"/>
  <c r="AL8"/>
  <c r="S18"/>
  <c r="AI18"/>
  <c r="AM7" i="9"/>
  <c r="T7"/>
  <c r="AJ7"/>
  <c r="S13" i="13"/>
  <c r="AF3" i="8"/>
  <c r="S4" i="13"/>
  <c r="AL4"/>
  <c r="T3"/>
  <c r="S7"/>
  <c r="AM8" i="9"/>
  <c r="T8"/>
  <c r="AJ8"/>
  <c r="AM4"/>
  <c r="T4"/>
  <c r="S11" i="13"/>
  <c r="AI11"/>
  <c r="T20" i="9"/>
  <c r="AJ20"/>
  <c r="AM20"/>
  <c r="AL16" i="13"/>
  <c r="AG9" i="5"/>
  <c r="AJ15" i="9"/>
  <c r="T12"/>
  <c r="T21"/>
  <c r="AM21"/>
  <c r="T19"/>
  <c r="AJ19"/>
  <c r="AM19"/>
  <c r="AJ3"/>
  <c r="AM6"/>
  <c r="T6"/>
  <c r="AM9"/>
  <c r="T9"/>
  <c r="AJ9"/>
  <c r="AL3" i="13"/>
  <c r="S3"/>
  <c r="AI3"/>
  <c r="S10"/>
  <c r="AI10"/>
  <c r="T13" i="9"/>
  <c r="AJ13"/>
  <c r="T10"/>
  <c r="AJ10"/>
  <c r="AM10"/>
  <c r="T18"/>
  <c r="AJ18"/>
  <c r="AL14" i="13"/>
  <c r="S14"/>
  <c r="AI14"/>
  <c r="S12"/>
  <c r="AL12"/>
  <c r="S5"/>
  <c r="AL5"/>
  <c r="T14" i="9"/>
  <c r="AJ14"/>
  <c r="T22"/>
  <c r="AJ22"/>
  <c r="AK22"/>
  <c r="AM22"/>
  <c r="AG10" i="5"/>
  <c r="AF9" i="7"/>
  <c r="AF6" i="8"/>
  <c r="AG4" i="5"/>
  <c r="AG8"/>
  <c r="AF7" i="8"/>
  <c r="AF15"/>
  <c r="AF10" i="7"/>
  <c r="AF14" i="8"/>
  <c r="AM3" i="9"/>
  <c r="I21" i="14"/>
  <c r="S21"/>
  <c r="I3"/>
  <c r="P19"/>
  <c r="T19"/>
  <c r="AI19"/>
  <c r="I13"/>
  <c r="S13"/>
  <c r="I14"/>
  <c r="AL14"/>
  <c r="S14"/>
  <c r="AI14"/>
  <c r="I4"/>
  <c r="I15"/>
  <c r="S15"/>
  <c r="AV34"/>
  <c r="U34"/>
  <c r="I9"/>
  <c r="S9"/>
  <c r="AI9"/>
  <c r="J34"/>
  <c r="S18"/>
  <c r="I16"/>
  <c r="S16"/>
  <c r="I17"/>
  <c r="I6"/>
  <c r="S6"/>
  <c r="I10"/>
  <c r="S10"/>
  <c r="I20"/>
  <c r="AL21"/>
  <c r="S19"/>
  <c r="I5"/>
  <c r="I11"/>
  <c r="I7"/>
  <c r="AL4"/>
  <c r="I12"/>
  <c r="I8"/>
  <c r="H34"/>
  <c r="AL19"/>
  <c r="S3"/>
  <c r="S5"/>
  <c r="AI5"/>
  <c r="S8"/>
  <c r="S12"/>
  <c r="AL18"/>
  <c r="AL15"/>
  <c r="BH34"/>
  <c r="P20"/>
  <c r="T20"/>
  <c r="Q34"/>
  <c r="V6"/>
  <c r="V34"/>
  <c r="P21"/>
  <c r="T21"/>
  <c r="AI21"/>
  <c r="P16"/>
  <c r="T16"/>
  <c r="AI16"/>
  <c r="P11"/>
  <c r="T11"/>
  <c r="P6"/>
  <c r="T6"/>
  <c r="P5"/>
  <c r="T5"/>
  <c r="O34"/>
  <c r="P15"/>
  <c r="T15"/>
  <c r="AI15"/>
  <c r="P14"/>
  <c r="T14"/>
  <c r="P3"/>
  <c r="P34"/>
  <c r="P18"/>
  <c r="T18"/>
  <c r="AI18"/>
  <c r="P4"/>
  <c r="T4"/>
  <c r="P17"/>
  <c r="T17"/>
  <c r="P8"/>
  <c r="T8"/>
  <c r="P12"/>
  <c r="T12"/>
  <c r="AI12"/>
  <c r="P10"/>
  <c r="T10"/>
  <c r="P7"/>
  <c r="T7"/>
  <c r="P9"/>
  <c r="T9"/>
  <c r="P13"/>
  <c r="T13"/>
  <c r="AI13"/>
  <c r="BN34"/>
  <c r="BB34"/>
  <c r="AI6"/>
  <c r="BB40" i="16"/>
  <c r="I23"/>
  <c r="I4"/>
  <c r="S4"/>
  <c r="I26"/>
  <c r="S26"/>
  <c r="I24"/>
  <c r="I27"/>
  <c r="I25"/>
  <c r="I11"/>
  <c r="S11"/>
  <c r="I8"/>
  <c r="S8"/>
  <c r="I5"/>
  <c r="I3"/>
  <c r="S3"/>
  <c r="I15"/>
  <c r="I14"/>
  <c r="I6"/>
  <c r="S6"/>
  <c r="I19"/>
  <c r="I7"/>
  <c r="I20"/>
  <c r="I16"/>
  <c r="S16"/>
  <c r="AI16"/>
  <c r="I12"/>
  <c r="I21"/>
  <c r="I17"/>
  <c r="I13"/>
  <c r="S13"/>
  <c r="I10"/>
  <c r="AL18"/>
  <c r="I22"/>
  <c r="I18"/>
  <c r="J40"/>
  <c r="AV40"/>
  <c r="H40"/>
  <c r="I9"/>
  <c r="U3"/>
  <c r="U40"/>
  <c r="AL13"/>
  <c r="AL16"/>
  <c r="AL6"/>
  <c r="S9"/>
  <c r="S10"/>
  <c r="AI10"/>
  <c r="S12"/>
  <c r="AI12"/>
  <c r="S7"/>
  <c r="S22"/>
  <c r="S21"/>
  <c r="AI21"/>
  <c r="S15"/>
  <c r="AL4"/>
  <c r="S18"/>
  <c r="S17"/>
  <c r="AI17"/>
  <c r="S20"/>
  <c r="S14"/>
  <c r="AL3"/>
  <c r="P23"/>
  <c r="T23"/>
  <c r="BH40"/>
  <c r="BN40"/>
  <c r="V40"/>
  <c r="Q40"/>
  <c r="P24"/>
  <c r="T24"/>
  <c r="P26"/>
  <c r="T26"/>
  <c r="P27"/>
  <c r="T27"/>
  <c r="P25"/>
  <c r="T25"/>
  <c r="P10"/>
  <c r="T10"/>
  <c r="P18"/>
  <c r="T18"/>
  <c r="AI18"/>
  <c r="P11"/>
  <c r="T11"/>
  <c r="O40"/>
  <c r="P14"/>
  <c r="T14"/>
  <c r="P21"/>
  <c r="T21"/>
  <c r="P4"/>
  <c r="T4"/>
  <c r="AI4"/>
  <c r="P5"/>
  <c r="T5"/>
  <c r="P20"/>
  <c r="T20"/>
  <c r="AI20"/>
  <c r="P17"/>
  <c r="T17"/>
  <c r="P7"/>
  <c r="T7"/>
  <c r="AI7"/>
  <c r="P16"/>
  <c r="T16"/>
  <c r="P22"/>
  <c r="T22"/>
  <c r="P15"/>
  <c r="T15"/>
  <c r="AI15"/>
  <c r="P3"/>
  <c r="T3"/>
  <c r="P13"/>
  <c r="T13"/>
  <c r="P9"/>
  <c r="T9"/>
  <c r="AI9"/>
  <c r="P12"/>
  <c r="T12"/>
  <c r="P19"/>
  <c r="T19"/>
  <c r="P8"/>
  <c r="T8"/>
  <c r="AI8"/>
  <c r="P6"/>
  <c r="T6"/>
  <c r="P15" i="17"/>
  <c r="X15"/>
  <c r="AM15"/>
  <c r="W25" i="18"/>
  <c r="Y38"/>
  <c r="I8"/>
  <c r="I12"/>
  <c r="P13"/>
  <c r="X13"/>
  <c r="I20"/>
  <c r="O38"/>
  <c r="P4"/>
  <c r="X4"/>
  <c r="P8"/>
  <c r="X8"/>
  <c r="I11"/>
  <c r="I15"/>
  <c r="P16"/>
  <c r="X16"/>
  <c r="I19"/>
  <c r="W19"/>
  <c r="AM19"/>
  <c r="P20"/>
  <c r="X20"/>
  <c r="I23"/>
  <c r="P24"/>
  <c r="X24"/>
  <c r="J38"/>
  <c r="P3"/>
  <c r="BR3"/>
  <c r="I14"/>
  <c r="P15"/>
  <c r="X15"/>
  <c r="AM15"/>
  <c r="I18"/>
  <c r="I22"/>
  <c r="W22"/>
  <c r="I26"/>
  <c r="Q38"/>
  <c r="P9"/>
  <c r="X9"/>
  <c r="I16"/>
  <c r="P17"/>
  <c r="X17"/>
  <c r="I24"/>
  <c r="AP25"/>
  <c r="P25"/>
  <c r="X25"/>
  <c r="AM25"/>
  <c r="I3"/>
  <c r="I21" i="17"/>
  <c r="W21"/>
  <c r="I3"/>
  <c r="W3"/>
  <c r="AM3"/>
  <c r="I24"/>
  <c r="W24"/>
  <c r="P24"/>
  <c r="X24"/>
  <c r="P3"/>
  <c r="X3"/>
  <c r="AV38"/>
  <c r="BP38"/>
  <c r="P21"/>
  <c r="X21"/>
  <c r="P23"/>
  <c r="X23"/>
  <c r="I25"/>
  <c r="W25"/>
  <c r="AJ38"/>
  <c r="Q38"/>
  <c r="AF38"/>
  <c r="P6"/>
  <c r="X6"/>
  <c r="I7"/>
  <c r="W7"/>
  <c r="AM7"/>
  <c r="I9"/>
  <c r="AP16"/>
  <c r="W9"/>
  <c r="P13"/>
  <c r="X13"/>
  <c r="I14"/>
  <c r="W14"/>
  <c r="P16"/>
  <c r="X16"/>
  <c r="I17"/>
  <c r="W17"/>
  <c r="AM17"/>
  <c r="P25"/>
  <c r="X25"/>
  <c r="I26"/>
  <c r="W26"/>
  <c r="J38"/>
  <c r="Y3"/>
  <c r="Y38"/>
  <c r="BB38"/>
  <c r="BJ38"/>
  <c r="P5"/>
  <c r="X5"/>
  <c r="I6"/>
  <c r="W6"/>
  <c r="AM6"/>
  <c r="P9"/>
  <c r="X9"/>
  <c r="I10"/>
  <c r="W10"/>
  <c r="AM10"/>
  <c r="P12"/>
  <c r="X12"/>
  <c r="I13"/>
  <c r="W13"/>
  <c r="P17"/>
  <c r="X17"/>
  <c r="I18"/>
  <c r="W18"/>
  <c r="AM18"/>
  <c r="P20"/>
  <c r="X20"/>
  <c r="P22"/>
  <c r="X22"/>
  <c r="I4"/>
  <c r="W4"/>
  <c r="Z4"/>
  <c r="Z38"/>
  <c r="P7"/>
  <c r="X7"/>
  <c r="I8"/>
  <c r="W8"/>
  <c r="I15"/>
  <c r="AP15"/>
  <c r="W15"/>
  <c r="P18"/>
  <c r="X18"/>
  <c r="I22"/>
  <c r="W22"/>
  <c r="P4"/>
  <c r="P38"/>
  <c r="I5"/>
  <c r="W5"/>
  <c r="AM5"/>
  <c r="P19"/>
  <c r="X19"/>
  <c r="I23"/>
  <c r="W23"/>
  <c r="AM23"/>
  <c r="H38"/>
  <c r="O38"/>
  <c r="P10"/>
  <c r="X10"/>
  <c r="I11"/>
  <c r="W11"/>
  <c r="P14"/>
  <c r="X14"/>
  <c r="I19"/>
  <c r="W19"/>
  <c r="AM19"/>
  <c r="AN19"/>
  <c r="P26"/>
  <c r="X26"/>
  <c r="AM26"/>
  <c r="P8"/>
  <c r="X8"/>
  <c r="P11"/>
  <c r="X11"/>
  <c r="I12"/>
  <c r="W12"/>
  <c r="AM12"/>
  <c r="I16"/>
  <c r="W16"/>
  <c r="I20"/>
  <c r="W20"/>
  <c r="W16" i="18"/>
  <c r="W14"/>
  <c r="AM14"/>
  <c r="W18"/>
  <c r="AM18"/>
  <c r="X3"/>
  <c r="W20"/>
  <c r="AM20"/>
  <c r="W26"/>
  <c r="W11"/>
  <c r="AM11"/>
  <c r="W8"/>
  <c r="AM8"/>
  <c r="AP24"/>
  <c r="W23"/>
  <c r="W15"/>
  <c r="W12"/>
  <c r="AM12"/>
  <c r="AM8" i="17"/>
  <c r="AP24"/>
  <c r="AM25"/>
  <c r="AN25"/>
  <c r="AP26"/>
  <c r="AP20"/>
  <c r="AM24"/>
  <c r="AM13"/>
  <c r="AM21"/>
  <c r="AM9"/>
  <c r="AP9"/>
  <c r="AP7"/>
  <c r="AM20"/>
  <c r="AP4"/>
  <c r="AP18"/>
  <c r="AP10"/>
  <c r="AP14"/>
  <c r="AM14"/>
  <c r="AP12"/>
  <c r="AM22"/>
  <c r="AN22"/>
  <c r="AM16"/>
  <c r="AP11"/>
  <c r="AM11"/>
  <c r="AP19"/>
  <c r="AP5"/>
  <c r="I38"/>
  <c r="AP13"/>
  <c r="AP6"/>
  <c r="W38"/>
  <c r="I8" i="21"/>
  <c r="I20"/>
  <c r="I27"/>
  <c r="AP26"/>
  <c r="Y3"/>
  <c r="Y41"/>
  <c r="Y40"/>
  <c r="I7"/>
  <c r="W7"/>
  <c r="AM7"/>
  <c r="I16"/>
  <c r="I11"/>
  <c r="W11"/>
  <c r="I22"/>
  <c r="W22"/>
  <c r="AM22"/>
  <c r="I21"/>
  <c r="W21"/>
  <c r="AM21"/>
  <c r="I25"/>
  <c r="W25"/>
  <c r="BD3"/>
  <c r="P25"/>
  <c r="X25"/>
  <c r="P8"/>
  <c r="X8"/>
  <c r="P22"/>
  <c r="X22"/>
  <c r="P16"/>
  <c r="X16"/>
  <c r="P12"/>
  <c r="P24"/>
  <c r="W6"/>
  <c r="AM6"/>
  <c r="W26"/>
  <c r="AP28"/>
  <c r="W28"/>
  <c r="W17"/>
  <c r="W19"/>
  <c r="W12"/>
  <c r="W14"/>
  <c r="X12"/>
  <c r="X26"/>
  <c r="AM26"/>
  <c r="X24"/>
  <c r="Z40"/>
  <c r="AJ41"/>
  <c r="AF41"/>
  <c r="AF40"/>
  <c r="P6"/>
  <c r="X6"/>
  <c r="P3"/>
  <c r="X3"/>
  <c r="P14"/>
  <c r="X14"/>
  <c r="P17"/>
  <c r="X17"/>
  <c r="AM17"/>
  <c r="P28"/>
  <c r="X28"/>
  <c r="AM28"/>
  <c r="AN28"/>
  <c r="I24"/>
  <c r="I4"/>
  <c r="W4"/>
  <c r="I15"/>
  <c r="W16"/>
  <c r="AM16"/>
  <c r="W20"/>
  <c r="AM20"/>
  <c r="W8"/>
  <c r="AM8"/>
  <c r="Y42"/>
  <c r="Y43"/>
  <c r="P5"/>
  <c r="X5"/>
  <c r="P9"/>
  <c r="X9"/>
  <c r="P19"/>
  <c r="X19"/>
  <c r="I9"/>
  <c r="I23"/>
  <c r="W27"/>
  <c r="AM27"/>
  <c r="I18"/>
  <c r="W18"/>
  <c r="Z42"/>
  <c r="Z43"/>
  <c r="Z41"/>
  <c r="AJ42"/>
  <c r="AJ43"/>
  <c r="P13"/>
  <c r="X13"/>
  <c r="AM13"/>
  <c r="I13"/>
  <c r="W13"/>
  <c r="AM18"/>
  <c r="W9"/>
  <c r="AM9"/>
  <c r="W23"/>
  <c r="AM23"/>
  <c r="W24"/>
  <c r="AM24"/>
  <c r="AM14"/>
  <c r="W15"/>
  <c r="AM15"/>
  <c r="AM12"/>
  <c r="AP25"/>
  <c r="AN14" i="17"/>
  <c r="AN23"/>
  <c r="AN16"/>
  <c r="AN24"/>
  <c r="AM16" i="18"/>
  <c r="AN18" i="17"/>
  <c r="AN17"/>
  <c r="AI3" i="16"/>
  <c r="AM19" i="21"/>
  <c r="AN9" i="17"/>
  <c r="AN13"/>
  <c r="AN12"/>
  <c r="AI6" i="16"/>
  <c r="AP27" i="21"/>
  <c r="AN11" i="17"/>
  <c r="AN20"/>
  <c r="AN21"/>
  <c r="AN15"/>
  <c r="AN10"/>
  <c r="AN26"/>
  <c r="T40" i="16"/>
  <c r="AM25" i="21"/>
  <c r="AP17" i="17"/>
  <c r="AP3"/>
  <c r="AP22"/>
  <c r="AP25"/>
  <c r="AP8"/>
  <c r="W24" i="18"/>
  <c r="AM24"/>
  <c r="AP26"/>
  <c r="X4" i="17"/>
  <c r="AP21"/>
  <c r="I40" i="16"/>
  <c r="AL20"/>
  <c r="AL8"/>
  <c r="AI22"/>
  <c r="S5"/>
  <c r="AI5"/>
  <c r="AJ5"/>
  <c r="AL5"/>
  <c r="AL25"/>
  <c r="S25"/>
  <c r="AI25"/>
  <c r="T3" i="14"/>
  <c r="S7"/>
  <c r="AI7"/>
  <c r="AI8"/>
  <c r="AL3"/>
  <c r="S4"/>
  <c r="AI4"/>
  <c r="I34"/>
  <c r="AL8"/>
  <c r="AL5"/>
  <c r="P40" i="16"/>
  <c r="AJ7"/>
  <c r="AL27"/>
  <c r="S27"/>
  <c r="AI27"/>
  <c r="AJ27"/>
  <c r="S17" i="14"/>
  <c r="AI17"/>
  <c r="AL17"/>
  <c r="AP23" i="17"/>
  <c r="AL14" i="16"/>
  <c r="AL17"/>
  <c r="AL11"/>
  <c r="AL21"/>
  <c r="AL10"/>
  <c r="AL12"/>
  <c r="S19"/>
  <c r="AI19"/>
  <c r="AL19"/>
  <c r="AI11"/>
  <c r="AL24"/>
  <c r="S24"/>
  <c r="AI24"/>
  <c r="AL23"/>
  <c r="S23"/>
  <c r="AI23"/>
  <c r="AL6" i="14"/>
  <c r="AL9"/>
  <c r="AL10"/>
  <c r="AL11"/>
  <c r="S11"/>
  <c r="AI11"/>
  <c r="AL20"/>
  <c r="S20"/>
  <c r="AI20"/>
  <c r="AJ20"/>
  <c r="AI14" i="16"/>
  <c r="AI13"/>
  <c r="AJ13"/>
  <c r="AL9"/>
  <c r="AL7"/>
  <c r="AI26"/>
  <c r="AJ26"/>
  <c r="AL7" i="14"/>
  <c r="AL12"/>
  <c r="AL13"/>
  <c r="AI10"/>
  <c r="AJ16"/>
  <c r="AL22" i="16"/>
  <c r="AL15"/>
  <c r="AL26"/>
  <c r="S34" i="14"/>
  <c r="AL16"/>
  <c r="AL13" i="13"/>
  <c r="P26" i="8"/>
  <c r="AF24"/>
  <c r="AG3" i="5"/>
  <c r="AF18" i="7"/>
  <c r="AL15" i="13"/>
  <c r="S15"/>
  <c r="AG5" i="5"/>
  <c r="AG6"/>
  <c r="V34" i="13"/>
  <c r="AL11"/>
  <c r="P16"/>
  <c r="T16"/>
  <c r="AI16"/>
  <c r="P12"/>
  <c r="T12"/>
  <c r="AI12"/>
  <c r="J17" i="9"/>
  <c r="Q12"/>
  <c r="N23" i="8"/>
  <c r="Q23"/>
  <c r="AF23"/>
  <c r="N9"/>
  <c r="Q9"/>
  <c r="AF9"/>
  <c r="AI4"/>
  <c r="AI8"/>
  <c r="O21" i="7"/>
  <c r="R21"/>
  <c r="R23"/>
  <c r="I16"/>
  <c r="Q16"/>
  <c r="AF16"/>
  <c r="I12"/>
  <c r="Q12"/>
  <c r="AF12"/>
  <c r="AG13"/>
  <c r="AL10" i="13"/>
  <c r="AL7"/>
  <c r="O34"/>
  <c r="P4"/>
  <c r="P5"/>
  <c r="T5"/>
  <c r="AI5"/>
  <c r="Q21" i="9"/>
  <c r="U21"/>
  <c r="AJ21"/>
  <c r="W4"/>
  <c r="W31"/>
  <c r="R31"/>
  <c r="N19" i="8"/>
  <c r="Q19"/>
  <c r="AF19"/>
  <c r="AG19"/>
  <c r="N17"/>
  <c r="Q17"/>
  <c r="AF17"/>
  <c r="N12"/>
  <c r="Q12"/>
  <c r="AF12"/>
  <c r="AI16"/>
  <c r="N13"/>
  <c r="Q13"/>
  <c r="AF13"/>
  <c r="N8"/>
  <c r="Q8"/>
  <c r="AF8"/>
  <c r="AI21" i="7"/>
  <c r="I15"/>
  <c r="Q15"/>
  <c r="AF15"/>
  <c r="AG15"/>
  <c r="I8"/>
  <c r="Q8"/>
  <c r="AF8"/>
  <c r="AI8"/>
  <c r="I4"/>
  <c r="Q4"/>
  <c r="AF4"/>
  <c r="AS34" i="13"/>
  <c r="R26" i="8"/>
  <c r="I20" i="7"/>
  <c r="Q20"/>
  <c r="AF20"/>
  <c r="AG20"/>
  <c r="AI20"/>
  <c r="AI7"/>
  <c r="I7"/>
  <c r="Q7"/>
  <c r="AF7"/>
  <c r="I3"/>
  <c r="Q3"/>
  <c r="AI4"/>
  <c r="AI3"/>
  <c r="I17" i="13"/>
  <c r="J16" i="9"/>
  <c r="AI23" i="8"/>
  <c r="N21"/>
  <c r="Q21"/>
  <c r="AF21"/>
  <c r="AG21"/>
  <c r="N4"/>
  <c r="Q4"/>
  <c r="AF4"/>
  <c r="AI19" i="7"/>
  <c r="I19"/>
  <c r="Q19"/>
  <c r="AF19"/>
  <c r="AG19"/>
  <c r="T23"/>
  <c r="I26" i="5"/>
  <c r="Q26"/>
  <c r="AF26"/>
  <c r="I25"/>
  <c r="Q25"/>
  <c r="AF25"/>
  <c r="AG25"/>
  <c r="I24"/>
  <c r="Q24"/>
  <c r="AF24"/>
  <c r="I23"/>
  <c r="Q23"/>
  <c r="AF23"/>
  <c r="I22"/>
  <c r="Q22"/>
  <c r="AF22"/>
  <c r="I21"/>
  <c r="Q21"/>
  <c r="AF21"/>
  <c r="I4" i="18"/>
  <c r="H38"/>
  <c r="I13"/>
  <c r="I5"/>
  <c r="I9"/>
  <c r="I6"/>
  <c r="I7"/>
  <c r="I17"/>
  <c r="I10"/>
  <c r="X22"/>
  <c r="AM22"/>
  <c r="BD3"/>
  <c r="W3"/>
  <c r="I21"/>
  <c r="P23"/>
  <c r="X23"/>
  <c r="AM23"/>
  <c r="P11" i="21"/>
  <c r="X11"/>
  <c r="AM11"/>
  <c r="P4"/>
  <c r="X4"/>
  <c r="X41"/>
  <c r="I3"/>
  <c r="P10"/>
  <c r="X10"/>
  <c r="I5"/>
  <c r="P26" i="18"/>
  <c r="X26"/>
  <c r="AM26"/>
  <c r="P21"/>
  <c r="I10" i="21"/>
  <c r="AG4" i="8"/>
  <c r="AG5"/>
  <c r="AG3"/>
  <c r="AG7"/>
  <c r="AF26"/>
  <c r="AG6"/>
  <c r="AG23"/>
  <c r="AG22"/>
  <c r="AK21" i="9"/>
  <c r="AK20"/>
  <c r="AK19"/>
  <c r="AN26" i="18"/>
  <c r="AN25"/>
  <c r="AM3"/>
  <c r="AG18" i="8"/>
  <c r="AG9"/>
  <c r="AG14"/>
  <c r="AG16"/>
  <c r="AG11"/>
  <c r="AG10"/>
  <c r="AG15"/>
  <c r="W3" i="21"/>
  <c r="AP8"/>
  <c r="AP3"/>
  <c r="AP7"/>
  <c r="AP9"/>
  <c r="AP6"/>
  <c r="AG22" i="5"/>
  <c r="W5" i="21"/>
  <c r="AM5"/>
  <c r="AP5"/>
  <c r="W10"/>
  <c r="AM10"/>
  <c r="AP11"/>
  <c r="AP17"/>
  <c r="AP14"/>
  <c r="AP22"/>
  <c r="AP18"/>
  <c r="AP21"/>
  <c r="AP10"/>
  <c r="AP13"/>
  <c r="AP12"/>
  <c r="AP15"/>
  <c r="AP24"/>
  <c r="AP19"/>
  <c r="AP23"/>
  <c r="AP16"/>
  <c r="AP20"/>
  <c r="AP10" i="18"/>
  <c r="W10"/>
  <c r="AM10"/>
  <c r="AP11"/>
  <c r="AP18"/>
  <c r="AP20"/>
  <c r="AP19"/>
  <c r="W9"/>
  <c r="AM9"/>
  <c r="AP16"/>
  <c r="AP9"/>
  <c r="AP14"/>
  <c r="AP15"/>
  <c r="W4"/>
  <c r="AM4"/>
  <c r="AP3"/>
  <c r="I38"/>
  <c r="AP4"/>
  <c r="AG24" i="5"/>
  <c r="AF3" i="7"/>
  <c r="Q23"/>
  <c r="AG4"/>
  <c r="AG12" i="8"/>
  <c r="U12" i="9"/>
  <c r="Q31"/>
  <c r="AG17" i="7"/>
  <c r="AG18"/>
  <c r="AJ23" i="16"/>
  <c r="AJ11"/>
  <c r="AJ17" i="14"/>
  <c r="AJ4"/>
  <c r="AI3"/>
  <c r="T34"/>
  <c r="AN24" i="18"/>
  <c r="AJ21" i="14"/>
  <c r="AP8" i="18"/>
  <c r="AJ20" i="16"/>
  <c r="AJ4"/>
  <c r="AN19" i="21"/>
  <c r="AJ3" i="16"/>
  <c r="AI40"/>
  <c r="AJ17"/>
  <c r="AG21" i="5"/>
  <c r="AG11"/>
  <c r="AG7" i="7"/>
  <c r="AG8" i="8"/>
  <c r="AG17"/>
  <c r="AG14" i="7"/>
  <c r="AG10"/>
  <c r="AG12"/>
  <c r="T17" i="9"/>
  <c r="AJ17"/>
  <c r="AM17"/>
  <c r="AG15" i="5"/>
  <c r="AG20" i="8"/>
  <c r="AG11" i="7"/>
  <c r="AG12" i="5"/>
  <c r="AG17"/>
  <c r="AJ10" i="14"/>
  <c r="AJ18"/>
  <c r="AJ13"/>
  <c r="AG13" i="5"/>
  <c r="AJ25" i="16"/>
  <c r="AJ22"/>
  <c r="AJ15" i="14"/>
  <c r="AJ12"/>
  <c r="S40" i="16"/>
  <c r="AJ15"/>
  <c r="AP4" i="21"/>
  <c r="AM4"/>
  <c r="X21" i="18"/>
  <c r="X38"/>
  <c r="P38"/>
  <c r="W17"/>
  <c r="AM17"/>
  <c r="AP17"/>
  <c r="W5"/>
  <c r="AM5"/>
  <c r="AP5"/>
  <c r="W7"/>
  <c r="AM7"/>
  <c r="AP7"/>
  <c r="AG26" i="5"/>
  <c r="T16" i="9"/>
  <c r="AM18"/>
  <c r="AM14"/>
  <c r="J31"/>
  <c r="AM15"/>
  <c r="AM16"/>
  <c r="AM11"/>
  <c r="AM13"/>
  <c r="AM12"/>
  <c r="AG8" i="7"/>
  <c r="AG13" i="8"/>
  <c r="AG16" i="7"/>
  <c r="AG14" i="5"/>
  <c r="AI15" i="13"/>
  <c r="AJ15"/>
  <c r="AG18" i="5"/>
  <c r="AG19"/>
  <c r="AJ14" i="16"/>
  <c r="AJ24"/>
  <c r="AJ19"/>
  <c r="AJ13" i="13"/>
  <c r="AJ14" i="14"/>
  <c r="AJ8"/>
  <c r="X38" i="17"/>
  <c r="AM4"/>
  <c r="AN25" i="21"/>
  <c r="AN26"/>
  <c r="AJ12" i="16"/>
  <c r="X42" i="21"/>
  <c r="X43"/>
  <c r="AP12" i="18"/>
  <c r="AJ6" i="16"/>
  <c r="AJ10"/>
  <c r="AJ9"/>
  <c r="AP23" i="18"/>
  <c r="W21"/>
  <c r="AM21"/>
  <c r="AN21"/>
  <c r="AP21"/>
  <c r="AP22"/>
  <c r="AP13"/>
  <c r="W13"/>
  <c r="AM13"/>
  <c r="AN13"/>
  <c r="AN11" i="21"/>
  <c r="W6" i="18"/>
  <c r="AM6"/>
  <c r="AN6"/>
  <c r="AP6"/>
  <c r="AG23" i="5"/>
  <c r="Q26" i="8"/>
  <c r="AL18" i="13"/>
  <c r="S17"/>
  <c r="AI17"/>
  <c r="AL17"/>
  <c r="I34"/>
  <c r="T4"/>
  <c r="P34"/>
  <c r="AJ16"/>
  <c r="AG16" i="5"/>
  <c r="AG20"/>
  <c r="AG24" i="8"/>
  <c r="AJ4" i="9"/>
  <c r="AJ11" i="14"/>
  <c r="AJ7"/>
  <c r="AJ18" i="16"/>
  <c r="AJ19" i="14"/>
  <c r="AJ16" i="16"/>
  <c r="AJ21"/>
  <c r="AJ8"/>
  <c r="AN27" i="21"/>
  <c r="X40"/>
  <c r="AJ17" i="13"/>
  <c r="AJ18"/>
  <c r="AI4"/>
  <c r="T34"/>
  <c r="S34"/>
  <c r="AJ10"/>
  <c r="AJ40" i="16"/>
  <c r="AI34" i="14"/>
  <c r="AJ3"/>
  <c r="AJ6"/>
  <c r="AJ5"/>
  <c r="AJ9"/>
  <c r="AJ12" i="9"/>
  <c r="AK17"/>
  <c r="U31"/>
  <c r="AN10" i="18"/>
  <c r="W38"/>
  <c r="AJ14" i="13"/>
  <c r="AN7" i="18"/>
  <c r="AN17"/>
  <c r="AN16"/>
  <c r="AG3" i="7"/>
  <c r="AF23"/>
  <c r="AG9"/>
  <c r="AG5"/>
  <c r="AG6"/>
  <c r="AN17" i="21"/>
  <c r="AN10"/>
  <c r="AN24"/>
  <c r="AN15"/>
  <c r="AN22"/>
  <c r="AN23"/>
  <c r="AN16"/>
  <c r="AN20"/>
  <c r="AN12"/>
  <c r="AN13"/>
  <c r="AN18"/>
  <c r="AN21"/>
  <c r="AN14"/>
  <c r="AN4" i="17"/>
  <c r="AN3"/>
  <c r="AN5"/>
  <c r="AN6"/>
  <c r="AN7"/>
  <c r="AN8"/>
  <c r="AM38"/>
  <c r="AJ12" i="13"/>
  <c r="AJ16" i="9"/>
  <c r="AK16"/>
  <c r="T31"/>
  <c r="AN4" i="18"/>
  <c r="W40" i="21"/>
  <c r="W41"/>
  <c r="W42"/>
  <c r="W43"/>
  <c r="AM3"/>
  <c r="AN5"/>
  <c r="AN23" i="18"/>
  <c r="AJ31" i="9"/>
  <c r="AK9"/>
  <c r="AK8"/>
  <c r="AK4"/>
  <c r="AK7"/>
  <c r="AK6"/>
  <c r="AK5"/>
  <c r="AK3"/>
  <c r="AK10"/>
  <c r="AJ11" i="13"/>
  <c r="AN5" i="18"/>
  <c r="AN11"/>
  <c r="AN14"/>
  <c r="AN9"/>
  <c r="AN19"/>
  <c r="AN15"/>
  <c r="AN12"/>
  <c r="AN20"/>
  <c r="AN18"/>
  <c r="AM38"/>
  <c r="AN3"/>
  <c r="AN38"/>
  <c r="AN8"/>
  <c r="AN22"/>
  <c r="AM40" i="21"/>
  <c r="AN3"/>
  <c r="AM41"/>
  <c r="AM42"/>
  <c r="AM43"/>
  <c r="AN8"/>
  <c r="AN6"/>
  <c r="AN7"/>
  <c r="AN9"/>
  <c r="AK12" i="9"/>
  <c r="AK13"/>
  <c r="AK18"/>
  <c r="AK11"/>
  <c r="AK31"/>
  <c r="AK15"/>
  <c r="AK14"/>
  <c r="AJ34" i="14"/>
  <c r="AN4" i="21"/>
  <c r="AJ4" i="13"/>
  <c r="AJ8"/>
  <c r="AJ9"/>
  <c r="AJ6"/>
  <c r="AJ3"/>
  <c r="AJ34"/>
  <c r="AI34"/>
  <c r="AJ7"/>
  <c r="AJ5"/>
  <c r="AN38" i="17"/>
  <c r="W3" i="22"/>
  <c r="W32"/>
  <c r="I34"/>
  <c r="W34"/>
  <c r="I36"/>
  <c r="W36"/>
  <c r="I37"/>
  <c r="W37"/>
  <c r="I33"/>
  <c r="W33"/>
  <c r="I35"/>
  <c r="W35"/>
  <c r="I38"/>
  <c r="I29"/>
  <c r="W29"/>
  <c r="I5"/>
  <c r="W5"/>
  <c r="I21"/>
  <c r="W21"/>
  <c r="I17"/>
  <c r="W17"/>
  <c r="I9"/>
  <c r="W9"/>
  <c r="I25"/>
  <c r="W25"/>
  <c r="I13"/>
  <c r="W13"/>
  <c r="I4"/>
  <c r="W4"/>
  <c r="I8"/>
  <c r="W8"/>
  <c r="I12"/>
  <c r="W12"/>
  <c r="I16"/>
  <c r="W16"/>
  <c r="I20"/>
  <c r="W20"/>
  <c r="I24"/>
  <c r="W24"/>
  <c r="I28"/>
  <c r="W28"/>
  <c r="I6"/>
  <c r="I10"/>
  <c r="I14"/>
  <c r="I18"/>
  <c r="I22"/>
  <c r="W22"/>
  <c r="I26"/>
  <c r="I30"/>
  <c r="W30"/>
  <c r="I7"/>
  <c r="I11"/>
  <c r="I15"/>
  <c r="I19"/>
  <c r="I23"/>
  <c r="I27"/>
  <c r="W27"/>
  <c r="Y44"/>
  <c r="Y45"/>
  <c r="Y46"/>
  <c r="Y43"/>
  <c r="W23"/>
  <c r="W14"/>
  <c r="W18"/>
  <c r="W11"/>
  <c r="W26"/>
  <c r="W7"/>
  <c r="W10"/>
  <c r="W15"/>
  <c r="W6"/>
  <c r="W19"/>
  <c r="W44"/>
  <c r="W45"/>
  <c r="W46"/>
  <c r="W43"/>
  <c r="AF45"/>
  <c r="AF46"/>
  <c r="AF43"/>
  <c r="AF44"/>
  <c r="AJ45"/>
  <c r="AJ46"/>
  <c r="AJ43"/>
  <c r="AJ44"/>
  <c r="P32"/>
  <c r="X32"/>
  <c r="AM32"/>
  <c r="P3"/>
  <c r="AM3"/>
  <c r="X34"/>
  <c r="AM34"/>
  <c r="P37"/>
  <c r="X37"/>
  <c r="AM37"/>
  <c r="P38"/>
  <c r="X38"/>
  <c r="AM38"/>
  <c r="P36"/>
  <c r="X36"/>
  <c r="AM36"/>
  <c r="P33"/>
  <c r="X33"/>
  <c r="AM33"/>
  <c r="P39"/>
  <c r="X39"/>
  <c r="AM39"/>
  <c r="P35"/>
  <c r="X35"/>
  <c r="AM35"/>
  <c r="P13"/>
  <c r="X13"/>
  <c r="P17"/>
  <c r="X17"/>
  <c r="AM17"/>
  <c r="P6"/>
  <c r="X6"/>
  <c r="AM6"/>
  <c r="P5"/>
  <c r="AM5"/>
  <c r="P25"/>
  <c r="X25"/>
  <c r="AM25"/>
  <c r="P8"/>
  <c r="X8"/>
  <c r="AM8"/>
  <c r="P20"/>
  <c r="X20"/>
  <c r="AM20"/>
  <c r="P29"/>
  <c r="X29"/>
  <c r="AM29"/>
  <c r="P21"/>
  <c r="X21"/>
  <c r="AM21"/>
  <c r="P18"/>
  <c r="X18"/>
  <c r="AM18"/>
  <c r="P28"/>
  <c r="X28"/>
  <c r="AM28"/>
  <c r="P31"/>
  <c r="X31"/>
  <c r="AM31"/>
  <c r="P26"/>
  <c r="X26"/>
  <c r="AM26"/>
  <c r="P24"/>
  <c r="X24"/>
  <c r="AM24"/>
  <c r="P23"/>
  <c r="X23"/>
  <c r="AM23"/>
  <c r="P7"/>
  <c r="X7"/>
  <c r="AM7"/>
  <c r="P11"/>
  <c r="X11"/>
  <c r="AM11"/>
  <c r="P16"/>
  <c r="X16"/>
  <c r="AM16"/>
  <c r="P30"/>
  <c r="X30"/>
  <c r="AM30"/>
  <c r="P12"/>
  <c r="X12"/>
  <c r="Z43"/>
  <c r="Z45"/>
  <c r="Z46"/>
  <c r="Z44"/>
  <c r="P4"/>
  <c r="X4"/>
  <c r="P10"/>
  <c r="X10"/>
  <c r="AM10"/>
  <c r="P15"/>
  <c r="X15"/>
  <c r="AM15"/>
  <c r="P22"/>
  <c r="X22"/>
  <c r="AM22"/>
  <c r="P27"/>
  <c r="X27"/>
  <c r="AM27"/>
  <c r="P9"/>
  <c r="X9"/>
  <c r="AM9"/>
  <c r="P14"/>
  <c r="X14"/>
  <c r="AM14"/>
  <c r="P19"/>
  <c r="X19"/>
  <c r="AM19"/>
  <c r="AN38"/>
  <c r="AN36"/>
  <c r="AN37"/>
  <c r="AN35"/>
  <c r="AN39"/>
  <c r="AN32"/>
  <c r="AN34"/>
  <c r="AN33"/>
  <c r="AN15"/>
  <c r="AN14"/>
  <c r="AN17"/>
  <c r="AN16"/>
  <c r="AM4"/>
  <c r="AN8"/>
  <c r="X43"/>
  <c r="AN24"/>
  <c r="AN23"/>
  <c r="AN22"/>
  <c r="X45"/>
  <c r="X46"/>
  <c r="AN30"/>
  <c r="AN31"/>
  <c r="AN19"/>
  <c r="AN27"/>
  <c r="AN21"/>
  <c r="AN18"/>
  <c r="AN25"/>
  <c r="AN29"/>
  <c r="X44"/>
  <c r="AN26"/>
  <c r="AN28"/>
  <c r="AN20"/>
  <c r="AN10"/>
  <c r="AN9"/>
  <c r="AN4"/>
  <c r="AN5"/>
  <c r="AN11"/>
  <c r="AN3"/>
  <c r="AM44"/>
  <c r="AM43"/>
  <c r="AN7"/>
  <c r="AM45"/>
  <c r="AM46"/>
  <c r="AN6"/>
  <c r="I35" i="24" l="1"/>
  <c r="I30"/>
  <c r="W30" s="1"/>
  <c r="I37"/>
  <c r="W37" s="1"/>
  <c r="P28"/>
  <c r="X28" s="1"/>
  <c r="I29"/>
  <c r="W29" s="1"/>
  <c r="I28"/>
  <c r="I32"/>
  <c r="W32" s="1"/>
  <c r="I36"/>
  <c r="I31"/>
  <c r="W31" s="1"/>
  <c r="I34"/>
  <c r="I38"/>
  <c r="W38" s="1"/>
  <c r="I33"/>
  <c r="AL4" i="11"/>
  <c r="AL9"/>
  <c r="AL28"/>
  <c r="I25" i="24"/>
  <c r="W25" s="1"/>
  <c r="I15"/>
  <c r="W15" s="1"/>
  <c r="I7"/>
  <c r="W7" s="1"/>
  <c r="I22"/>
  <c r="W22" s="1"/>
  <c r="W36"/>
  <c r="I26"/>
  <c r="I24"/>
  <c r="W24" s="1"/>
  <c r="I19"/>
  <c r="W19" s="1"/>
  <c r="I17"/>
  <c r="I14"/>
  <c r="W14" s="1"/>
  <c r="I12"/>
  <c r="W12" s="1"/>
  <c r="I10"/>
  <c r="I8"/>
  <c r="I6"/>
  <c r="W6" s="1"/>
  <c r="I4"/>
  <c r="W4" s="1"/>
  <c r="I18"/>
  <c r="W18" s="1"/>
  <c r="I11"/>
  <c r="W11" s="1"/>
  <c r="I20"/>
  <c r="I23"/>
  <c r="I21"/>
  <c r="W21" s="1"/>
  <c r="I13"/>
  <c r="I9"/>
  <c r="I16"/>
  <c r="I5"/>
  <c r="W5" s="1"/>
  <c r="P23"/>
  <c r="X23" s="1"/>
  <c r="P37"/>
  <c r="X37" s="1"/>
  <c r="P35"/>
  <c r="X35" s="1"/>
  <c r="P22"/>
  <c r="X22" s="1"/>
  <c r="P12"/>
  <c r="X12" s="1"/>
  <c r="P11"/>
  <c r="X11" s="1"/>
  <c r="P4"/>
  <c r="X4" s="1"/>
  <c r="P25"/>
  <c r="X25" s="1"/>
  <c r="P21"/>
  <c r="X21" s="1"/>
  <c r="P17"/>
  <c r="X17" s="1"/>
  <c r="P14"/>
  <c r="X14" s="1"/>
  <c r="P10"/>
  <c r="X10" s="1"/>
  <c r="P6"/>
  <c r="X6" s="1"/>
  <c r="P38"/>
  <c r="X38" s="1"/>
  <c r="P31"/>
  <c r="X31" s="1"/>
  <c r="P36"/>
  <c r="X36" s="1"/>
  <c r="P34"/>
  <c r="X34" s="1"/>
  <c r="P32"/>
  <c r="X32" s="1"/>
  <c r="P30"/>
  <c r="X30" s="1"/>
  <c r="P33"/>
  <c r="X33" s="1"/>
  <c r="P29"/>
  <c r="X29" s="1"/>
  <c r="P19"/>
  <c r="X19" s="1"/>
  <c r="P8"/>
  <c r="X8" s="1"/>
  <c r="P26"/>
  <c r="X26" s="1"/>
  <c r="P18"/>
  <c r="X18" s="1"/>
  <c r="P15"/>
  <c r="X15" s="1"/>
  <c r="P7"/>
  <c r="X7" s="1"/>
  <c r="P24"/>
  <c r="X24" s="1"/>
  <c r="P20"/>
  <c r="X20" s="1"/>
  <c r="P16"/>
  <c r="X16" s="1"/>
  <c r="P13"/>
  <c r="X13" s="1"/>
  <c r="P9"/>
  <c r="X9" s="1"/>
  <c r="P5"/>
  <c r="X5" s="1"/>
  <c r="P3"/>
  <c r="X3" s="1"/>
  <c r="AG42"/>
  <c r="I3"/>
  <c r="AF43"/>
  <c r="AF42"/>
  <c r="Z43"/>
  <c r="Z44"/>
  <c r="Z45" s="1"/>
  <c r="Z42"/>
  <c r="Y44"/>
  <c r="Y45" s="1"/>
  <c r="Y43"/>
  <c r="AG44"/>
  <c r="AG45" s="1"/>
  <c r="AF44"/>
  <c r="AF45" s="1"/>
  <c r="Y42"/>
  <c r="AG43"/>
  <c r="AL6" i="11"/>
  <c r="AL25"/>
  <c r="AL10"/>
  <c r="AL5"/>
  <c r="AL21"/>
  <c r="AL14"/>
  <c r="AL11"/>
  <c r="AL36"/>
  <c r="AL8"/>
  <c r="AL13"/>
  <c r="AL20"/>
  <c r="AL18"/>
  <c r="AL29"/>
  <c r="AL27"/>
  <c r="AL32"/>
  <c r="AL24"/>
  <c r="AL22"/>
  <c r="I26" i="23"/>
  <c r="W26" s="1"/>
  <c r="P26"/>
  <c r="X26" s="1"/>
  <c r="P28"/>
  <c r="X28" s="1"/>
  <c r="AJ40"/>
  <c r="I29"/>
  <c r="W29" s="1"/>
  <c r="P3"/>
  <c r="X3" s="1"/>
  <c r="X4"/>
  <c r="P8"/>
  <c r="X8" s="1"/>
  <c r="P13"/>
  <c r="X13" s="1"/>
  <c r="I12"/>
  <c r="W12" s="1"/>
  <c r="I17"/>
  <c r="W17" s="1"/>
  <c r="I21"/>
  <c r="W21" s="1"/>
  <c r="I25"/>
  <c r="W25" s="1"/>
  <c r="P24"/>
  <c r="X24" s="1"/>
  <c r="AF39"/>
  <c r="AJ41"/>
  <c r="AJ42" s="1"/>
  <c r="P30"/>
  <c r="X30" s="1"/>
  <c r="I31"/>
  <c r="P32"/>
  <c r="X32" s="1"/>
  <c r="I33"/>
  <c r="W33" s="1"/>
  <c r="P34"/>
  <c r="X34" s="1"/>
  <c r="I35"/>
  <c r="W35" s="1"/>
  <c r="AF40"/>
  <c r="I7"/>
  <c r="W7" s="1"/>
  <c r="P9"/>
  <c r="X9" s="1"/>
  <c r="P14"/>
  <c r="X14" s="1"/>
  <c r="P18"/>
  <c r="X18" s="1"/>
  <c r="P22"/>
  <c r="X22" s="1"/>
  <c r="P27"/>
  <c r="X27" s="1"/>
  <c r="I3"/>
  <c r="W3" s="1"/>
  <c r="AF41"/>
  <c r="AF42" s="1"/>
  <c r="I28"/>
  <c r="P29"/>
  <c r="X29" s="1"/>
  <c r="I30"/>
  <c r="W30" s="1"/>
  <c r="P31"/>
  <c r="X31" s="1"/>
  <c r="I32"/>
  <c r="P33"/>
  <c r="X33" s="1"/>
  <c r="I34"/>
  <c r="W34" s="1"/>
  <c r="P35"/>
  <c r="X35" s="1"/>
  <c r="AL26" i="11"/>
  <c r="AL16"/>
  <c r="AL35"/>
  <c r="AL33"/>
  <c r="AL23"/>
  <c r="AL17"/>
  <c r="Y41" i="23"/>
  <c r="Y42" s="1"/>
  <c r="Z40"/>
  <c r="Z41"/>
  <c r="Z42" s="1"/>
  <c r="Z39"/>
  <c r="AL31" i="11"/>
  <c r="AM4"/>
  <c r="AL3"/>
  <c r="AL15"/>
  <c r="AL34"/>
  <c r="AM24"/>
  <c r="AL7"/>
  <c r="I6" i="23"/>
  <c r="P12"/>
  <c r="X12" s="1"/>
  <c r="I20"/>
  <c r="I24"/>
  <c r="Y40"/>
  <c r="I5"/>
  <c r="P11"/>
  <c r="X11" s="1"/>
  <c r="P20"/>
  <c r="X20" s="1"/>
  <c r="I4"/>
  <c r="P5"/>
  <c r="X5" s="1"/>
  <c r="I8"/>
  <c r="I13"/>
  <c r="I9"/>
  <c r="P10"/>
  <c r="X10" s="1"/>
  <c r="I14"/>
  <c r="P15"/>
  <c r="X15" s="1"/>
  <c r="I18"/>
  <c r="P19"/>
  <c r="I22"/>
  <c r="P23"/>
  <c r="X23" s="1"/>
  <c r="I27"/>
  <c r="AJ39"/>
  <c r="P7"/>
  <c r="X7" s="1"/>
  <c r="I11"/>
  <c r="I16"/>
  <c r="P17"/>
  <c r="X17" s="1"/>
  <c r="P21"/>
  <c r="X21" s="1"/>
  <c r="P25"/>
  <c r="X25" s="1"/>
  <c r="P6"/>
  <c r="X6" s="1"/>
  <c r="I10"/>
  <c r="I15"/>
  <c r="P16"/>
  <c r="X16" s="1"/>
  <c r="I19"/>
  <c r="I23"/>
  <c r="Y39"/>
  <c r="AL4" i="24" l="1"/>
  <c r="AL11"/>
  <c r="AL5"/>
  <c r="AL21"/>
  <c r="AL6"/>
  <c r="AL24"/>
  <c r="AO28"/>
  <c r="AO10"/>
  <c r="AO23"/>
  <c r="AO34"/>
  <c r="AO33"/>
  <c r="AO5"/>
  <c r="AO20"/>
  <c r="AO8"/>
  <c r="AO26"/>
  <c r="W23"/>
  <c r="AL23" s="1"/>
  <c r="W8"/>
  <c r="AL8" s="1"/>
  <c r="AO13"/>
  <c r="AO38"/>
  <c r="AO18"/>
  <c r="AO6"/>
  <c r="AO14"/>
  <c r="AO24"/>
  <c r="AO22"/>
  <c r="AO15"/>
  <c r="W16"/>
  <c r="AL16" s="1"/>
  <c r="AO16"/>
  <c r="W3"/>
  <c r="AL3" s="1"/>
  <c r="AO3"/>
  <c r="W9"/>
  <c r="AL9" s="1"/>
  <c r="AO9"/>
  <c r="AO35"/>
  <c r="AO17"/>
  <c r="AO37"/>
  <c r="W33"/>
  <c r="AL33" s="1"/>
  <c r="W34"/>
  <c r="AL34" s="1"/>
  <c r="AO21"/>
  <c r="AO25"/>
  <c r="W10"/>
  <c r="AL10" s="1"/>
  <c r="W26"/>
  <c r="W13"/>
  <c r="AL13" s="1"/>
  <c r="W35"/>
  <c r="AL35" s="1"/>
  <c r="W20"/>
  <c r="AL20" s="1"/>
  <c r="W17"/>
  <c r="AL17" s="1"/>
  <c r="AO11"/>
  <c r="AO4"/>
  <c r="AO12"/>
  <c r="AO19"/>
  <c r="AO36"/>
  <c r="AO7"/>
  <c r="AL14"/>
  <c r="AL19"/>
  <c r="AL15"/>
  <c r="AL31"/>
  <c r="AL25"/>
  <c r="AL7"/>
  <c r="AL36"/>
  <c r="AL22"/>
  <c r="AL37"/>
  <c r="AL18"/>
  <c r="AL30"/>
  <c r="AL12"/>
  <c r="AL29"/>
  <c r="AO31"/>
  <c r="AO30"/>
  <c r="X42"/>
  <c r="X44"/>
  <c r="X45" s="1"/>
  <c r="W28"/>
  <c r="AL28" s="1"/>
  <c r="AO29"/>
  <c r="X43"/>
  <c r="AM30" i="11"/>
  <c r="AM35"/>
  <c r="AM10"/>
  <c r="AO32" i="24"/>
  <c r="AM3" i="11"/>
  <c r="AM15"/>
  <c r="AM33"/>
  <c r="AM6"/>
  <c r="AP13" i="23"/>
  <c r="AM26"/>
  <c r="AP26"/>
  <c r="AP32"/>
  <c r="AP29"/>
  <c r="AP31"/>
  <c r="AP28"/>
  <c r="W31"/>
  <c r="AM31" s="1"/>
  <c r="AM30"/>
  <c r="W32"/>
  <c r="AM32" s="1"/>
  <c r="AM17"/>
  <c r="AP35"/>
  <c r="AM29"/>
  <c r="AM7"/>
  <c r="AM33"/>
  <c r="AM28"/>
  <c r="X39"/>
  <c r="AM35"/>
  <c r="AM34"/>
  <c r="AP30"/>
  <c r="AP33"/>
  <c r="X41"/>
  <c r="X42" s="1"/>
  <c r="AP21"/>
  <c r="AP34"/>
  <c r="X40"/>
  <c r="AP23"/>
  <c r="W23"/>
  <c r="AM23" s="1"/>
  <c r="AP10"/>
  <c r="W10"/>
  <c r="AM10" s="1"/>
  <c r="AP11"/>
  <c r="W11"/>
  <c r="AM11" s="1"/>
  <c r="AP18"/>
  <c r="W18"/>
  <c r="AM18" s="1"/>
  <c r="AP15"/>
  <c r="W15"/>
  <c r="AM15" s="1"/>
  <c r="AP16"/>
  <c r="W16"/>
  <c r="AM16" s="1"/>
  <c r="AP22"/>
  <c r="W22"/>
  <c r="AM22" s="1"/>
  <c r="AP14"/>
  <c r="W14"/>
  <c r="AM14" s="1"/>
  <c r="W13"/>
  <c r="AM13" s="1"/>
  <c r="AP4"/>
  <c r="W4"/>
  <c r="AM4" s="1"/>
  <c r="AP5"/>
  <c r="W5"/>
  <c r="AM5" s="1"/>
  <c r="AM20" i="11"/>
  <c r="AM22"/>
  <c r="AM18"/>
  <c r="AM26"/>
  <c r="AM25"/>
  <c r="AM40"/>
  <c r="AM7"/>
  <c r="AM34"/>
  <c r="AM9"/>
  <c r="AM11"/>
  <c r="AM5"/>
  <c r="AP3" i="23"/>
  <c r="AM12"/>
  <c r="AM23" i="11"/>
  <c r="AM16"/>
  <c r="AM8"/>
  <c r="AM39"/>
  <c r="AM21"/>
  <c r="AM21" i="23"/>
  <c r="AP27"/>
  <c r="W27"/>
  <c r="AM27" s="1"/>
  <c r="AP9"/>
  <c r="W9"/>
  <c r="AM9" s="1"/>
  <c r="AP8"/>
  <c r="W8"/>
  <c r="AM8" s="1"/>
  <c r="AP24"/>
  <c r="W24"/>
  <c r="AM24" s="1"/>
  <c r="AP19"/>
  <c r="W19"/>
  <c r="AM19" s="1"/>
  <c r="AP20"/>
  <c r="W20"/>
  <c r="AM20" s="1"/>
  <c r="AP6"/>
  <c r="W6"/>
  <c r="AM6" s="1"/>
  <c r="AM3"/>
  <c r="AM37" i="11"/>
  <c r="AM14"/>
  <c r="AM19"/>
  <c r="AM25" i="23"/>
  <c r="AM27" i="11"/>
  <c r="AP12" i="23"/>
  <c r="AM32" i="11"/>
  <c r="AM12"/>
  <c r="AM31"/>
  <c r="AM17"/>
  <c r="AM29"/>
  <c r="AM13"/>
  <c r="AM36"/>
  <c r="AM38"/>
  <c r="AM28"/>
  <c r="AP7" i="23"/>
  <c r="AP25"/>
  <c r="AP17"/>
  <c r="AM6" i="24" l="1"/>
  <c r="AM5"/>
  <c r="AM8"/>
  <c r="AM10"/>
  <c r="AM19"/>
  <c r="AM4"/>
  <c r="AM11"/>
  <c r="AM18"/>
  <c r="AM3"/>
  <c r="AM28"/>
  <c r="AM7"/>
  <c r="AM9"/>
  <c r="AM16"/>
  <c r="AM25"/>
  <c r="AM33"/>
  <c r="AM12"/>
  <c r="AM14"/>
  <c r="AM34"/>
  <c r="AM36"/>
  <c r="AM17"/>
  <c r="AM24"/>
  <c r="AM35"/>
  <c r="AM20"/>
  <c r="AM37"/>
  <c r="AM13"/>
  <c r="AM15"/>
  <c r="AM23"/>
  <c r="AM21"/>
  <c r="AM22"/>
  <c r="W44"/>
  <c r="W45" s="1"/>
  <c r="AM31"/>
  <c r="AM30"/>
  <c r="W42"/>
  <c r="AL42"/>
  <c r="AL43"/>
  <c r="AL44"/>
  <c r="AL45" s="1"/>
  <c r="W43"/>
  <c r="AM29"/>
  <c r="AN13" i="23"/>
  <c r="AN26"/>
  <c r="AN30"/>
  <c r="AN34"/>
  <c r="AN29"/>
  <c r="AN33"/>
  <c r="AN31"/>
  <c r="AN28"/>
  <c r="AN32"/>
  <c r="AN5"/>
  <c r="AN35"/>
  <c r="AN25"/>
  <c r="W39"/>
  <c r="AN16"/>
  <c r="AN11"/>
  <c r="W41"/>
  <c r="W42" s="1"/>
  <c r="AN19"/>
  <c r="AN9"/>
  <c r="W40"/>
  <c r="AN6"/>
  <c r="AN8"/>
  <c r="AN27"/>
  <c r="AN17"/>
  <c r="AM39"/>
  <c r="AN3"/>
  <c r="AM40"/>
  <c r="AM41"/>
  <c r="AM42" s="1"/>
  <c r="AN12"/>
  <c r="AN22"/>
  <c r="AN23"/>
  <c r="AN20"/>
  <c r="AN24"/>
  <c r="AN21"/>
  <c r="AN7"/>
  <c r="AN4"/>
  <c r="AN14"/>
  <c r="AN15"/>
  <c r="AN18"/>
  <c r="AN10"/>
</calcChain>
</file>

<file path=xl/comments1.xml><?xml version="1.0" encoding="utf-8"?>
<comments xmlns="http://schemas.openxmlformats.org/spreadsheetml/2006/main">
  <authors>
    <author>ichiro</author>
  </authors>
  <commentList>
    <comment ref="AK4" authorId="0">
      <text>
        <r>
          <rPr>
            <b/>
            <sz val="9"/>
            <color indexed="81"/>
            <rFont val="ＭＳ Ｐゴシック"/>
            <family val="3"/>
            <charset val="128"/>
          </rPr>
          <t>ichiro:</t>
        </r>
        <r>
          <rPr>
            <sz val="9"/>
            <color indexed="81"/>
            <rFont val="ＭＳ Ｐゴシック"/>
            <family val="3"/>
            <charset val="128"/>
          </rPr>
          <t xml:space="preserve">
深夜徘徊</t>
        </r>
      </text>
    </comment>
    <comment ref="AK10" authorId="0">
      <text>
        <r>
          <rPr>
            <b/>
            <sz val="9"/>
            <color indexed="81"/>
            <rFont val="ＭＳ Ｐゴシック"/>
            <family val="3"/>
            <charset val="128"/>
          </rPr>
          <t>ichiro:</t>
        </r>
        <r>
          <rPr>
            <sz val="9"/>
            <color indexed="81"/>
            <rFont val="ＭＳ Ｐゴシック"/>
            <family val="3"/>
            <charset val="128"/>
          </rPr>
          <t xml:space="preserve">
深夜徘徊</t>
        </r>
      </text>
    </comment>
    <comment ref="AK12" authorId="0">
      <text>
        <r>
          <rPr>
            <b/>
            <sz val="9"/>
            <color indexed="81"/>
            <rFont val="ＭＳ Ｐゴシック"/>
            <family val="3"/>
            <charset val="128"/>
          </rPr>
          <t>ichiro:</t>
        </r>
        <r>
          <rPr>
            <sz val="9"/>
            <color indexed="81"/>
            <rFont val="ＭＳ Ｐゴシック"/>
            <family val="3"/>
            <charset val="128"/>
          </rPr>
          <t xml:space="preserve">
深夜徘徊
肌露出-0.5</t>
        </r>
      </text>
    </comment>
    <comment ref="AK13" authorId="0">
      <text>
        <r>
          <rPr>
            <b/>
            <sz val="9"/>
            <color indexed="81"/>
            <rFont val="ＭＳ Ｐゴシック"/>
            <family val="3"/>
            <charset val="128"/>
          </rPr>
          <t>ichiro:</t>
        </r>
        <r>
          <rPr>
            <sz val="9"/>
            <color indexed="81"/>
            <rFont val="ＭＳ Ｐゴシック"/>
            <family val="3"/>
            <charset val="128"/>
          </rPr>
          <t xml:space="preserve">
就寝時刻超過</t>
        </r>
      </text>
    </comment>
    <comment ref="AK17" authorId="0">
      <text>
        <r>
          <rPr>
            <b/>
            <sz val="9"/>
            <color indexed="81"/>
            <rFont val="ＭＳ Ｐゴシック"/>
            <family val="3"/>
            <charset val="128"/>
          </rPr>
          <t>ichiro:</t>
        </r>
        <r>
          <rPr>
            <sz val="9"/>
            <color indexed="81"/>
            <rFont val="ＭＳ Ｐゴシック"/>
            <family val="3"/>
            <charset val="128"/>
          </rPr>
          <t xml:space="preserve">
2日目集合1分以上遅刻
1日目就寝時刻超過</t>
        </r>
      </text>
    </comment>
    <comment ref="Y21" authorId="0">
      <text>
        <r>
          <rPr>
            <b/>
            <sz val="9"/>
            <color indexed="81"/>
            <rFont val="ＭＳ Ｐゴシック"/>
            <family val="3"/>
            <charset val="128"/>
          </rPr>
          <t>ichiro:</t>
        </r>
        <r>
          <rPr>
            <sz val="9"/>
            <color indexed="81"/>
            <rFont val="ＭＳ Ｐゴシック"/>
            <family val="3"/>
            <charset val="128"/>
          </rPr>
          <t xml:space="preserve">
1日目竜王～立烏帽子コースアウト</t>
        </r>
      </text>
    </comment>
    <comment ref="AK23" authorId="0">
      <text>
        <r>
          <rPr>
            <b/>
            <sz val="9"/>
            <color indexed="81"/>
            <rFont val="ＭＳ Ｐゴシック"/>
            <family val="3"/>
            <charset val="128"/>
          </rPr>
          <t>ichiro:</t>
        </r>
        <r>
          <rPr>
            <sz val="9"/>
            <color indexed="81"/>
            <rFont val="ＭＳ Ｐゴシック"/>
            <family val="3"/>
            <charset val="128"/>
          </rPr>
          <t xml:space="preserve">
就寝時刻超過</t>
        </r>
      </text>
    </comment>
    <comment ref="AK28" authorId="0">
      <text>
        <r>
          <rPr>
            <b/>
            <sz val="9"/>
            <color indexed="81"/>
            <rFont val="ＭＳ Ｐゴシック"/>
            <family val="3"/>
            <charset val="128"/>
          </rPr>
          <t>ichiro:</t>
        </r>
        <r>
          <rPr>
            <sz val="9"/>
            <color indexed="81"/>
            <rFont val="ＭＳ Ｐゴシック"/>
            <family val="3"/>
            <charset val="128"/>
          </rPr>
          <t xml:space="preserve">
就寝時刻超過</t>
        </r>
      </text>
    </comment>
    <comment ref="AK32" authorId="0">
      <text>
        <r>
          <rPr>
            <b/>
            <sz val="9"/>
            <color indexed="81"/>
            <rFont val="ＭＳ Ｐゴシック"/>
            <family val="3"/>
            <charset val="128"/>
          </rPr>
          <t>ichiro:</t>
        </r>
        <r>
          <rPr>
            <sz val="9"/>
            <color indexed="81"/>
            <rFont val="ＭＳ Ｐゴシック"/>
            <family val="3"/>
            <charset val="128"/>
          </rPr>
          <t xml:space="preserve">
2日目集合1分以上遅刻</t>
        </r>
      </text>
    </comment>
    <comment ref="AK33" authorId="0">
      <text>
        <r>
          <rPr>
            <b/>
            <sz val="9"/>
            <color indexed="81"/>
            <rFont val="ＭＳ Ｐゴシック"/>
            <family val="3"/>
            <charset val="128"/>
          </rPr>
          <t>ichiro:</t>
        </r>
        <r>
          <rPr>
            <sz val="9"/>
            <color indexed="81"/>
            <rFont val="ＭＳ Ｐゴシック"/>
            <family val="3"/>
            <charset val="128"/>
          </rPr>
          <t xml:space="preserve">
2日目集合1分以上遅刻</t>
        </r>
      </text>
    </comment>
    <comment ref="AK34" authorId="0">
      <text>
        <r>
          <rPr>
            <b/>
            <sz val="9"/>
            <color indexed="81"/>
            <rFont val="ＭＳ Ｐゴシック"/>
            <family val="3"/>
            <charset val="128"/>
          </rPr>
          <t>ichiro:</t>
        </r>
        <r>
          <rPr>
            <sz val="9"/>
            <color indexed="81"/>
            <rFont val="ＭＳ Ｐゴシック"/>
            <family val="3"/>
            <charset val="128"/>
          </rPr>
          <t xml:space="preserve">
2日目集合1分以上遅刻</t>
        </r>
      </text>
    </comment>
  </commentList>
</comments>
</file>

<file path=xl/comments2.xml><?xml version="1.0" encoding="utf-8"?>
<comments xmlns="http://schemas.openxmlformats.org/spreadsheetml/2006/main">
  <authors>
    <author>ichiro</author>
  </authors>
  <commentList>
    <comment ref="AG12" authorId="0">
      <text>
        <r>
          <rPr>
            <b/>
            <sz val="9"/>
            <color indexed="81"/>
            <rFont val="ＭＳ Ｐゴシック"/>
            <family val="3"/>
            <charset val="128"/>
          </rPr>
          <t>ichiro:</t>
        </r>
        <r>
          <rPr>
            <sz val="9"/>
            <color indexed="81"/>
            <rFont val="ＭＳ Ｐゴシック"/>
            <family val="3"/>
            <charset val="128"/>
          </rPr>
          <t xml:space="preserve">
事前記入あり</t>
        </r>
      </text>
    </comment>
  </commentList>
</comments>
</file>

<file path=xl/comments3.xml><?xml version="1.0" encoding="utf-8"?>
<comments xmlns="http://schemas.openxmlformats.org/spreadsheetml/2006/main">
  <authors>
    <author>ichiro</author>
  </authors>
  <commentList>
    <comment ref="T17" authorId="0">
      <text>
        <r>
          <rPr>
            <b/>
            <sz val="9"/>
            <color indexed="81"/>
            <rFont val="ＭＳ Ｐゴシック"/>
            <family val="3"/>
            <charset val="128"/>
          </rPr>
          <t>ichiro:</t>
        </r>
        <r>
          <rPr>
            <sz val="9"/>
            <color indexed="81"/>
            <rFont val="ＭＳ Ｐゴシック"/>
            <family val="3"/>
            <charset val="128"/>
          </rPr>
          <t xml:space="preserve">
2日目43.8kg-0.2kg</t>
        </r>
      </text>
    </comment>
    <comment ref="S19" authorId="0">
      <text>
        <r>
          <rPr>
            <b/>
            <sz val="9"/>
            <color indexed="81"/>
            <rFont val="ＭＳ Ｐゴシック"/>
            <family val="3"/>
            <charset val="128"/>
          </rPr>
          <t>ichiro:</t>
        </r>
        <r>
          <rPr>
            <sz val="9"/>
            <color indexed="81"/>
            <rFont val="ＭＳ Ｐゴシック"/>
            <family val="3"/>
            <charset val="128"/>
          </rPr>
          <t xml:space="preserve">
1日目11.0kg-37.0kg</t>
        </r>
      </text>
    </comment>
    <comment ref="T19" authorId="0">
      <text>
        <r>
          <rPr>
            <b/>
            <sz val="9"/>
            <color indexed="81"/>
            <rFont val="ＭＳ Ｐゴシック"/>
            <family val="3"/>
            <charset val="128"/>
          </rPr>
          <t>ichiro:</t>
        </r>
        <r>
          <rPr>
            <sz val="9"/>
            <color indexed="81"/>
            <rFont val="ＭＳ Ｐゴシック"/>
            <family val="3"/>
            <charset val="128"/>
          </rPr>
          <t xml:space="preserve">
2日目5.6kg-38.4kg</t>
        </r>
      </text>
    </comment>
  </commentList>
</comments>
</file>

<file path=xl/comments4.xml><?xml version="1.0" encoding="utf-8"?>
<comments xmlns="http://schemas.openxmlformats.org/spreadsheetml/2006/main">
  <authors>
    <author>広島県高等学校体育連盟登山専門部</author>
  </authors>
  <commentList>
    <comment ref="T6" authorId="0">
      <text>
        <r>
          <rPr>
            <b/>
            <sz val="9"/>
            <color indexed="81"/>
            <rFont val="ＭＳ Ｐゴシック"/>
            <family val="3"/>
            <charset val="128"/>
          </rPr>
          <t>重量不足0.3kg</t>
        </r>
      </text>
    </comment>
  </commentList>
</comments>
</file>

<file path=xl/comments5.xml><?xml version="1.0" encoding="utf-8"?>
<comments xmlns="http://schemas.openxmlformats.org/spreadsheetml/2006/main">
  <authors>
    <author>広島県高等学校体育連盟登山専門部</author>
  </authors>
  <commentList>
    <comment ref="AN26" authorId="0">
      <text>
        <r>
          <rPr>
            <b/>
            <sz val="9"/>
            <color indexed="81"/>
            <rFont val="ＭＳ Ｐゴシック"/>
            <family val="3"/>
            <charset val="128"/>
          </rPr>
          <t>広島県高等学校体育連盟登山専門部:</t>
        </r>
        <r>
          <rPr>
            <sz val="9"/>
            <color indexed="81"/>
            <rFont val="ＭＳ Ｐゴシック"/>
            <family val="3"/>
            <charset val="128"/>
          </rPr>
          <t xml:space="preserve">
二日目，朝メンバー一人リタイア</t>
        </r>
      </text>
    </comment>
    <comment ref="AN32" authorId="0">
      <text>
        <r>
          <rPr>
            <b/>
            <sz val="9"/>
            <color indexed="81"/>
            <rFont val="ＭＳ Ｐゴシック"/>
            <family val="3"/>
            <charset val="128"/>
          </rPr>
          <t>広島県高等学校体育連盟登山専門部:</t>
        </r>
        <r>
          <rPr>
            <sz val="9"/>
            <color indexed="81"/>
            <rFont val="ＭＳ Ｐゴシック"/>
            <family val="3"/>
            <charset val="128"/>
          </rPr>
          <t xml:space="preserve">
二日目，毛無山山頂よりリタイア　</t>
        </r>
      </text>
    </comment>
    <comment ref="AN38" authorId="0">
      <text>
        <r>
          <rPr>
            <b/>
            <sz val="9"/>
            <color indexed="81"/>
            <rFont val="ＭＳ Ｐゴシック"/>
            <family val="3"/>
            <charset val="128"/>
          </rPr>
          <t>広島県高等学校体育連盟登山専門部:</t>
        </r>
        <r>
          <rPr>
            <sz val="9"/>
            <color indexed="81"/>
            <rFont val="ＭＳ Ｐゴシック"/>
            <family val="3"/>
            <charset val="128"/>
          </rPr>
          <t xml:space="preserve">
テント破損，体育館収容　</t>
        </r>
      </text>
    </comment>
  </commentList>
</comments>
</file>

<file path=xl/comments6.xml><?xml version="1.0" encoding="utf-8"?>
<comments xmlns="http://schemas.openxmlformats.org/spreadsheetml/2006/main">
  <authors>
    <author>広島県高等学校体育連盟登山専門部</author>
  </authors>
  <commentList>
    <comment ref="AN26" authorId="0">
      <text>
        <r>
          <rPr>
            <b/>
            <sz val="9"/>
            <color indexed="81"/>
            <rFont val="ＭＳ Ｐゴシック"/>
            <family val="3"/>
            <charset val="128"/>
          </rPr>
          <t>広島県高等学校体育連盟登山専門部:</t>
        </r>
        <r>
          <rPr>
            <sz val="9"/>
            <color indexed="81"/>
            <rFont val="ＭＳ Ｐゴシック"/>
            <family val="3"/>
            <charset val="128"/>
          </rPr>
          <t xml:space="preserve">
二日目，朝メンバー一人リタイア</t>
        </r>
      </text>
    </comment>
    <comment ref="AN37" authorId="0">
      <text>
        <r>
          <rPr>
            <b/>
            <sz val="9"/>
            <color indexed="81"/>
            <rFont val="ＭＳ Ｐゴシック"/>
            <family val="3"/>
            <charset val="128"/>
          </rPr>
          <t>広島県高等学校体育連盟登山専門部:</t>
        </r>
        <r>
          <rPr>
            <sz val="9"/>
            <color indexed="81"/>
            <rFont val="ＭＳ Ｐゴシック"/>
            <family val="3"/>
            <charset val="128"/>
          </rPr>
          <t xml:space="preserve">
二日目，毛無山山頂よりリタイア　</t>
        </r>
      </text>
    </comment>
    <comment ref="AN38" authorId="0">
      <text>
        <r>
          <rPr>
            <b/>
            <sz val="9"/>
            <color indexed="81"/>
            <rFont val="ＭＳ Ｐゴシック"/>
            <family val="3"/>
            <charset val="128"/>
          </rPr>
          <t>広島県高等学校体育連盟登山専門部:</t>
        </r>
        <r>
          <rPr>
            <sz val="9"/>
            <color indexed="81"/>
            <rFont val="ＭＳ Ｐゴシック"/>
            <family val="3"/>
            <charset val="128"/>
          </rPr>
          <t xml:space="preserve">
テント破損，体育館収容　</t>
        </r>
      </text>
    </comment>
  </commentList>
</comments>
</file>

<file path=xl/sharedStrings.xml><?xml version="1.0" encoding="utf-8"?>
<sst xmlns="http://schemas.openxmlformats.org/spreadsheetml/2006/main" count="2770" uniqueCount="765">
  <si>
    <t>体力３</t>
  </si>
  <si>
    <t>体力４</t>
  </si>
  <si>
    <t>設営</t>
  </si>
  <si>
    <t>炊事</t>
  </si>
  <si>
    <t>気象</t>
  </si>
  <si>
    <t>読図</t>
  </si>
  <si>
    <t>事前研究</t>
  </si>
  <si>
    <t>救急法</t>
  </si>
  <si>
    <t>計画書</t>
  </si>
  <si>
    <t>記録書</t>
  </si>
  <si>
    <t>医薬品</t>
  </si>
  <si>
    <t>マナー</t>
  </si>
  <si>
    <t>合計</t>
  </si>
  <si>
    <t>広島学院</t>
  </si>
  <si>
    <t>尾道憲二</t>
  </si>
  <si>
    <t>高陽</t>
  </si>
  <si>
    <t>美藤陽一</t>
  </si>
  <si>
    <t>広大附属</t>
  </si>
  <si>
    <t>内海良一</t>
  </si>
  <si>
    <t>修道</t>
  </si>
  <si>
    <t>清原真琴</t>
  </si>
  <si>
    <t>安古市</t>
  </si>
  <si>
    <t>松島康浩</t>
  </si>
  <si>
    <t>三津田</t>
  </si>
  <si>
    <t>増永玲</t>
  </si>
  <si>
    <t>観音</t>
  </si>
  <si>
    <t>水野敬一</t>
  </si>
  <si>
    <t>廿日市</t>
  </si>
  <si>
    <t>懸川一明</t>
  </si>
  <si>
    <t>賀茂</t>
  </si>
  <si>
    <t>畑中　一志</t>
  </si>
  <si>
    <t>明王台</t>
  </si>
  <si>
    <t>福島信夫</t>
  </si>
  <si>
    <t>安芸</t>
  </si>
  <si>
    <t>藤井　一郎</t>
  </si>
  <si>
    <t>土本勝彦</t>
  </si>
  <si>
    <t>森棟尚</t>
  </si>
  <si>
    <t>畦昭夫</t>
  </si>
  <si>
    <t>安芸府中</t>
  </si>
  <si>
    <t>森一</t>
  </si>
  <si>
    <t>呉工業</t>
  </si>
  <si>
    <t>守本秀樹</t>
  </si>
  <si>
    <t>中舛俊宏</t>
  </si>
  <si>
    <t>竹田文恵</t>
  </si>
  <si>
    <t>大庭充</t>
  </si>
  <si>
    <t>広島学院B4</t>
  </si>
  <si>
    <t>広島学院B5</t>
  </si>
  <si>
    <t>皆実</t>
  </si>
  <si>
    <t>隅広巌</t>
  </si>
  <si>
    <t>銭谷朋子</t>
  </si>
  <si>
    <t>清心</t>
  </si>
  <si>
    <t>大平哲也</t>
  </si>
  <si>
    <t>福永輝彦</t>
  </si>
  <si>
    <t>花房千鶴子</t>
  </si>
  <si>
    <t>広島商業</t>
  </si>
  <si>
    <t>松尾一俊</t>
  </si>
  <si>
    <t>石黒洋</t>
  </si>
  <si>
    <t>西部伸也</t>
  </si>
  <si>
    <t>基町</t>
  </si>
  <si>
    <t>原紺勇一</t>
  </si>
  <si>
    <t>守本　秀樹</t>
  </si>
  <si>
    <t>廿日市西</t>
  </si>
  <si>
    <t>北林秀樹</t>
  </si>
  <si>
    <t>国泰寺</t>
  </si>
  <si>
    <t>峠龍二</t>
  </si>
  <si>
    <t>国際学院</t>
  </si>
  <si>
    <t>森原博之</t>
  </si>
  <si>
    <t>宮島工業</t>
  </si>
  <si>
    <t>戸川仁</t>
  </si>
  <si>
    <t>広陵</t>
  </si>
  <si>
    <t>能勢欽也</t>
  </si>
  <si>
    <t>高陽東</t>
  </si>
  <si>
    <t>村川茂樹</t>
  </si>
  <si>
    <t>畑中一志</t>
  </si>
  <si>
    <t>表邦男</t>
  </si>
  <si>
    <t>格致</t>
  </si>
  <si>
    <t>香川真弓</t>
  </si>
  <si>
    <t>北川雅直</t>
  </si>
  <si>
    <t>前田理</t>
  </si>
  <si>
    <t>長船深雪</t>
  </si>
  <si>
    <t>塩見裕子</t>
  </si>
  <si>
    <t>清水尊司</t>
  </si>
  <si>
    <t>久保田眞吾</t>
  </si>
  <si>
    <t>海田</t>
  </si>
  <si>
    <t>林善久</t>
  </si>
  <si>
    <t>誠之館</t>
  </si>
  <si>
    <t>片山壮希</t>
  </si>
  <si>
    <t>隊</t>
    <rPh sb="0" eb="1">
      <t>タイ</t>
    </rPh>
    <phoneticPr fontId="3"/>
  </si>
  <si>
    <t>校名</t>
    <rPh sb="0" eb="2">
      <t>コウメイ</t>
    </rPh>
    <phoneticPr fontId="3"/>
  </si>
  <si>
    <t>ゼッケン</t>
    <phoneticPr fontId="3"/>
  </si>
  <si>
    <t>監督</t>
    <rPh sb="0" eb="2">
      <t>カントク</t>
    </rPh>
    <phoneticPr fontId="3"/>
  </si>
  <si>
    <t>所要時間１</t>
    <rPh sb="0" eb="2">
      <t>ショヨウ</t>
    </rPh>
    <rPh sb="2" eb="4">
      <t>ジカン</t>
    </rPh>
    <phoneticPr fontId="3"/>
  </si>
  <si>
    <t>トップ差１</t>
    <rPh sb="3" eb="4">
      <t>サ</t>
    </rPh>
    <phoneticPr fontId="3"/>
  </si>
  <si>
    <t>所要時間２</t>
    <rPh sb="0" eb="2">
      <t>ショヨウ</t>
    </rPh>
    <rPh sb="2" eb="4">
      <t>ジカン</t>
    </rPh>
    <phoneticPr fontId="3"/>
  </si>
  <si>
    <t>トップ差２</t>
    <rPh sb="3" eb="4">
      <t>サ</t>
    </rPh>
    <phoneticPr fontId="3"/>
  </si>
  <si>
    <t>体力１</t>
    <phoneticPr fontId="3"/>
  </si>
  <si>
    <t>体力２</t>
    <phoneticPr fontId="3"/>
  </si>
  <si>
    <t>装備・服装</t>
    <phoneticPr fontId="3"/>
  </si>
  <si>
    <t>順位</t>
    <rPh sb="0" eb="2">
      <t>ジュンイ</t>
    </rPh>
    <phoneticPr fontId="3"/>
  </si>
  <si>
    <t>A</t>
    <phoneticPr fontId="3"/>
  </si>
  <si>
    <t>B</t>
    <phoneticPr fontId="3"/>
  </si>
  <si>
    <t>高陽B1</t>
    <phoneticPr fontId="3"/>
  </si>
  <si>
    <t>D</t>
    <phoneticPr fontId="3"/>
  </si>
  <si>
    <t>C</t>
    <phoneticPr fontId="3"/>
  </si>
  <si>
    <t>F</t>
    <phoneticPr fontId="3"/>
  </si>
  <si>
    <t>備考</t>
    <rPh sb="0" eb="2">
      <t>ビコウ</t>
    </rPh>
    <phoneticPr fontId="3"/>
  </si>
  <si>
    <t>TS1</t>
    <phoneticPr fontId="3"/>
  </si>
  <si>
    <t>TG1</t>
    <phoneticPr fontId="3"/>
  </si>
  <si>
    <t>G1</t>
    <phoneticPr fontId="3"/>
  </si>
  <si>
    <t>TS2</t>
    <phoneticPr fontId="3"/>
  </si>
  <si>
    <t>TG2</t>
    <phoneticPr fontId="3"/>
  </si>
  <si>
    <t>G2</t>
    <phoneticPr fontId="3"/>
  </si>
  <si>
    <t>規定時間1</t>
    <rPh sb="0" eb="2">
      <t>キテイ</t>
    </rPh>
    <rPh sb="2" eb="4">
      <t>ジカン</t>
    </rPh>
    <phoneticPr fontId="3"/>
  </si>
  <si>
    <t>規定時間2</t>
    <rPh sb="0" eb="2">
      <t>キテイ</t>
    </rPh>
    <rPh sb="2" eb="4">
      <t>ジカン</t>
    </rPh>
    <phoneticPr fontId="3"/>
  </si>
  <si>
    <t>ゼッケン</t>
    <phoneticPr fontId="3"/>
  </si>
  <si>
    <t>TS1</t>
    <phoneticPr fontId="3"/>
  </si>
  <si>
    <t>TG1</t>
    <phoneticPr fontId="3"/>
  </si>
  <si>
    <t>G1</t>
    <phoneticPr fontId="3"/>
  </si>
  <si>
    <t>A</t>
    <phoneticPr fontId="3"/>
  </si>
  <si>
    <t>B</t>
    <phoneticPr fontId="3"/>
  </si>
  <si>
    <t>D</t>
    <phoneticPr fontId="3"/>
  </si>
  <si>
    <t>E</t>
    <phoneticPr fontId="3"/>
  </si>
  <si>
    <t>高陽</t>
    <rPh sb="0" eb="1">
      <t>コウ</t>
    </rPh>
    <rPh sb="1" eb="2">
      <t>ヨウ</t>
    </rPh>
    <phoneticPr fontId="3"/>
  </si>
  <si>
    <t>広島学院</t>
    <rPh sb="0" eb="2">
      <t>ヒロシマ</t>
    </rPh>
    <rPh sb="2" eb="4">
      <t>ガクイン</t>
    </rPh>
    <phoneticPr fontId="3"/>
  </si>
  <si>
    <t>安古市</t>
    <rPh sb="0" eb="1">
      <t>ヤス</t>
    </rPh>
    <rPh sb="1" eb="3">
      <t>フルイチ</t>
    </rPh>
    <phoneticPr fontId="3"/>
  </si>
  <si>
    <t>広大付属</t>
    <rPh sb="0" eb="2">
      <t>ヒロダイ</t>
    </rPh>
    <rPh sb="2" eb="4">
      <t>フゾク</t>
    </rPh>
    <phoneticPr fontId="3"/>
  </si>
  <si>
    <t>修道</t>
    <rPh sb="0" eb="2">
      <t>シュウドウ</t>
    </rPh>
    <phoneticPr fontId="3"/>
  </si>
  <si>
    <t>海田</t>
    <rPh sb="0" eb="1">
      <t>ウミ</t>
    </rPh>
    <rPh sb="1" eb="2">
      <t>タ</t>
    </rPh>
    <phoneticPr fontId="3"/>
  </si>
  <si>
    <t>広島観音</t>
    <rPh sb="0" eb="2">
      <t>ヒロシマ</t>
    </rPh>
    <rPh sb="2" eb="4">
      <t>カンノン</t>
    </rPh>
    <phoneticPr fontId="3"/>
  </si>
  <si>
    <t>呉工業</t>
    <rPh sb="0" eb="1">
      <t>クレ</t>
    </rPh>
    <rPh sb="1" eb="3">
      <t>コウギョウ</t>
    </rPh>
    <phoneticPr fontId="3"/>
  </si>
  <si>
    <t>基町</t>
    <rPh sb="0" eb="1">
      <t>モト</t>
    </rPh>
    <rPh sb="1" eb="2">
      <t>マチ</t>
    </rPh>
    <phoneticPr fontId="3"/>
  </si>
  <si>
    <t>学院B2</t>
    <rPh sb="0" eb="2">
      <t>ガクイン</t>
    </rPh>
    <phoneticPr fontId="3"/>
  </si>
  <si>
    <t>学院B４</t>
    <rPh sb="0" eb="2">
      <t>ガクイン</t>
    </rPh>
    <phoneticPr fontId="3"/>
  </si>
  <si>
    <t>安芸府中</t>
    <rPh sb="0" eb="2">
      <t>アキ</t>
    </rPh>
    <rPh sb="2" eb="4">
      <t>フチュウ</t>
    </rPh>
    <phoneticPr fontId="3"/>
  </si>
  <si>
    <t>修道B１</t>
    <rPh sb="0" eb="2">
      <t>シュウドウ</t>
    </rPh>
    <phoneticPr fontId="3"/>
  </si>
  <si>
    <t>学院B１</t>
    <rPh sb="0" eb="2">
      <t>ガクイン</t>
    </rPh>
    <phoneticPr fontId="3"/>
  </si>
  <si>
    <t>修道B２</t>
    <rPh sb="0" eb="2">
      <t>シュウドウ</t>
    </rPh>
    <phoneticPr fontId="3"/>
  </si>
  <si>
    <t>学院B３</t>
    <rPh sb="0" eb="2">
      <t>ガクイン</t>
    </rPh>
    <phoneticPr fontId="3"/>
  </si>
  <si>
    <t>廿日市</t>
    <rPh sb="0" eb="3">
      <t>ハツカイチ</t>
    </rPh>
    <phoneticPr fontId="3"/>
  </si>
  <si>
    <t>ND清心</t>
    <rPh sb="2" eb="4">
      <t>セイシン</t>
    </rPh>
    <phoneticPr fontId="3"/>
  </si>
  <si>
    <t>賀茂</t>
    <rPh sb="0" eb="2">
      <t>カモ</t>
    </rPh>
    <phoneticPr fontId="3"/>
  </si>
  <si>
    <t>就寝</t>
    <rPh sb="0" eb="2">
      <t>シュウシン</t>
    </rPh>
    <phoneticPr fontId="3"/>
  </si>
  <si>
    <t>交歓行事</t>
    <rPh sb="0" eb="2">
      <t>コウカン</t>
    </rPh>
    <rPh sb="2" eb="4">
      <t>ギョウジ</t>
    </rPh>
    <phoneticPr fontId="3"/>
  </si>
  <si>
    <t>下前知義</t>
    <rPh sb="0" eb="2">
      <t>シモマエ</t>
    </rPh>
    <rPh sb="2" eb="4">
      <t>トモヨシ</t>
    </rPh>
    <phoneticPr fontId="3"/>
  </si>
  <si>
    <t>森棟尚</t>
    <rPh sb="0" eb="2">
      <t>モリムネ</t>
    </rPh>
    <rPh sb="2" eb="3">
      <t>ショウ</t>
    </rPh>
    <phoneticPr fontId="3"/>
  </si>
  <si>
    <t>土本勝彦</t>
    <rPh sb="0" eb="2">
      <t>ツチモト</t>
    </rPh>
    <rPh sb="2" eb="4">
      <t>カツヒコ</t>
    </rPh>
    <phoneticPr fontId="3"/>
  </si>
  <si>
    <t>林善久</t>
    <rPh sb="0" eb="1">
      <t>ハヤシ</t>
    </rPh>
    <rPh sb="1" eb="3">
      <t>ヨシヒサ</t>
    </rPh>
    <phoneticPr fontId="3"/>
  </si>
  <si>
    <t>藤井宏</t>
    <rPh sb="0" eb="2">
      <t>フジイ</t>
    </rPh>
    <rPh sb="2" eb="3">
      <t>ヒロシ</t>
    </rPh>
    <phoneticPr fontId="3"/>
  </si>
  <si>
    <t>森本秀樹</t>
    <rPh sb="0" eb="2">
      <t>モリモト</t>
    </rPh>
    <rPh sb="2" eb="4">
      <t>ヒデキ</t>
    </rPh>
    <phoneticPr fontId="3"/>
  </si>
  <si>
    <t>内海良一</t>
    <rPh sb="0" eb="2">
      <t>ウツミ</t>
    </rPh>
    <rPh sb="2" eb="4">
      <t>リョウイチ</t>
    </rPh>
    <phoneticPr fontId="3"/>
  </si>
  <si>
    <t>畑中一志</t>
    <rPh sb="0" eb="2">
      <t>ハタナカ</t>
    </rPh>
    <rPh sb="2" eb="4">
      <t>カズシ</t>
    </rPh>
    <phoneticPr fontId="3"/>
  </si>
  <si>
    <t>森一</t>
    <rPh sb="0" eb="1">
      <t>モリ</t>
    </rPh>
    <rPh sb="1" eb="2">
      <t>ハジメ</t>
    </rPh>
    <phoneticPr fontId="3"/>
  </si>
  <si>
    <t>長船深雪</t>
    <rPh sb="0" eb="2">
      <t>オサフネ</t>
    </rPh>
    <rPh sb="2" eb="4">
      <t>ミユキ</t>
    </rPh>
    <phoneticPr fontId="3"/>
  </si>
  <si>
    <t>起床</t>
    <rPh sb="0" eb="2">
      <t>キショウ</t>
    </rPh>
    <phoneticPr fontId="3"/>
  </si>
  <si>
    <t>2日目集合</t>
    <rPh sb="1" eb="2">
      <t>ニチ</t>
    </rPh>
    <rPh sb="2" eb="3">
      <t>メ</t>
    </rPh>
    <rPh sb="3" eb="5">
      <t>シュウゴウ</t>
    </rPh>
    <phoneticPr fontId="3"/>
  </si>
  <si>
    <t>ゴミ</t>
    <phoneticPr fontId="3"/>
  </si>
  <si>
    <t>マナー計</t>
    <rPh sb="3" eb="4">
      <t>ケイ</t>
    </rPh>
    <phoneticPr fontId="3"/>
  </si>
  <si>
    <t>ゼッケン</t>
    <phoneticPr fontId="3"/>
  </si>
  <si>
    <t>TS1</t>
    <phoneticPr fontId="3"/>
  </si>
  <si>
    <t>TG1</t>
    <phoneticPr fontId="3"/>
  </si>
  <si>
    <t>G1</t>
    <phoneticPr fontId="3"/>
  </si>
  <si>
    <t>ゴミ</t>
    <phoneticPr fontId="3"/>
  </si>
  <si>
    <t>A</t>
    <phoneticPr fontId="3"/>
  </si>
  <si>
    <t>A</t>
    <phoneticPr fontId="3"/>
  </si>
  <si>
    <t>A</t>
    <phoneticPr fontId="3"/>
  </si>
  <si>
    <t>A</t>
    <phoneticPr fontId="3"/>
  </si>
  <si>
    <t>A</t>
    <phoneticPr fontId="3"/>
  </si>
  <si>
    <t>A</t>
    <phoneticPr fontId="3"/>
  </si>
  <si>
    <t>A</t>
    <phoneticPr fontId="3"/>
  </si>
  <si>
    <t>B</t>
    <phoneticPr fontId="3"/>
  </si>
  <si>
    <t>B</t>
    <phoneticPr fontId="3"/>
  </si>
  <si>
    <t>B</t>
    <phoneticPr fontId="3"/>
  </si>
  <si>
    <t>B</t>
    <phoneticPr fontId="3"/>
  </si>
  <si>
    <t>B</t>
    <phoneticPr fontId="3"/>
  </si>
  <si>
    <t>D</t>
    <phoneticPr fontId="3"/>
  </si>
  <si>
    <t>D</t>
    <phoneticPr fontId="3"/>
  </si>
  <si>
    <t>D</t>
    <phoneticPr fontId="3"/>
  </si>
  <si>
    <t>E</t>
    <phoneticPr fontId="3"/>
  </si>
  <si>
    <t>A</t>
    <phoneticPr fontId="3"/>
  </si>
  <si>
    <t>五日市</t>
    <rPh sb="0" eb="3">
      <t>イツカイチ</t>
    </rPh>
    <phoneticPr fontId="3"/>
  </si>
  <si>
    <t>懸川</t>
    <rPh sb="0" eb="2">
      <t>カケガワ</t>
    </rPh>
    <phoneticPr fontId="3"/>
  </si>
  <si>
    <t>原紺勇一</t>
    <phoneticPr fontId="3"/>
  </si>
  <si>
    <t>県立広島</t>
    <rPh sb="0" eb="2">
      <t>ケンリツ</t>
    </rPh>
    <rPh sb="2" eb="4">
      <t>ヒロシマ</t>
    </rPh>
    <phoneticPr fontId="3"/>
  </si>
  <si>
    <t>松本</t>
    <rPh sb="0" eb="2">
      <t>マツモト</t>
    </rPh>
    <phoneticPr fontId="3"/>
  </si>
  <si>
    <t>修道B2</t>
    <rPh sb="0" eb="2">
      <t>シュウドウ</t>
    </rPh>
    <phoneticPr fontId="3"/>
  </si>
  <si>
    <t>修道B1</t>
    <rPh sb="0" eb="2">
      <t>シュウドウ</t>
    </rPh>
    <phoneticPr fontId="3"/>
  </si>
  <si>
    <t>学院B3</t>
    <rPh sb="0" eb="2">
      <t>ガクイン</t>
    </rPh>
    <phoneticPr fontId="3"/>
  </si>
  <si>
    <t>森</t>
    <rPh sb="0" eb="1">
      <t>モリ</t>
    </rPh>
    <phoneticPr fontId="3"/>
  </si>
  <si>
    <t>E</t>
    <phoneticPr fontId="3"/>
  </si>
  <si>
    <t>ave</t>
    <phoneticPr fontId="3"/>
  </si>
  <si>
    <t>2日目出走順</t>
    <rPh sb="1" eb="2">
      <t>ニチ</t>
    </rPh>
    <rPh sb="2" eb="3">
      <t>メ</t>
    </rPh>
    <rPh sb="3" eb="5">
      <t>シュッソウ</t>
    </rPh>
    <rPh sb="5" eb="6">
      <t>ジュン</t>
    </rPh>
    <phoneticPr fontId="3"/>
  </si>
  <si>
    <t>トップとの差は男女別</t>
    <rPh sb="5" eb="6">
      <t>サ</t>
    </rPh>
    <rPh sb="7" eb="9">
      <t>ダンジョ</t>
    </rPh>
    <rPh sb="9" eb="10">
      <t>ベツ</t>
    </rPh>
    <phoneticPr fontId="3"/>
  </si>
  <si>
    <t>-</t>
    <phoneticPr fontId="3"/>
  </si>
  <si>
    <t>リタイア</t>
    <phoneticPr fontId="3"/>
  </si>
  <si>
    <t>(70.5)</t>
    <phoneticPr fontId="3"/>
  </si>
  <si>
    <t>ゼッケン</t>
    <phoneticPr fontId="3"/>
  </si>
  <si>
    <t>TS1</t>
    <phoneticPr fontId="3"/>
  </si>
  <si>
    <t>TG1</t>
    <phoneticPr fontId="3"/>
  </si>
  <si>
    <t>G1</t>
    <phoneticPr fontId="3"/>
  </si>
  <si>
    <t>A</t>
    <phoneticPr fontId="3"/>
  </si>
  <si>
    <t>E</t>
    <phoneticPr fontId="3"/>
  </si>
  <si>
    <t>ave</t>
    <phoneticPr fontId="3"/>
  </si>
  <si>
    <t>高陽東</t>
    <rPh sb="0" eb="1">
      <t>コウ</t>
    </rPh>
    <rPh sb="1" eb="2">
      <t>ヨウ</t>
    </rPh>
    <rPh sb="2" eb="3">
      <t>ヒガシ</t>
    </rPh>
    <phoneticPr fontId="3"/>
  </si>
  <si>
    <t>高陽</t>
    <rPh sb="0" eb="2">
      <t>コウヨウ</t>
    </rPh>
    <phoneticPr fontId="3"/>
  </si>
  <si>
    <t>国際学院</t>
    <rPh sb="0" eb="2">
      <t>コクサイ</t>
    </rPh>
    <rPh sb="2" eb="4">
      <t>ガクイン</t>
    </rPh>
    <phoneticPr fontId="3"/>
  </si>
  <si>
    <t>広島学院B１</t>
    <rPh sb="0" eb="2">
      <t>ヒロシマ</t>
    </rPh>
    <rPh sb="2" eb="4">
      <t>ガクイン</t>
    </rPh>
    <phoneticPr fontId="3"/>
  </si>
  <si>
    <t>県立広島B1</t>
    <rPh sb="0" eb="2">
      <t>ケンリツ</t>
    </rPh>
    <rPh sb="2" eb="4">
      <t>ヒロシマ</t>
    </rPh>
    <phoneticPr fontId="3"/>
  </si>
  <si>
    <t>県立広島B2</t>
    <rPh sb="0" eb="2">
      <t>ケンリツ</t>
    </rPh>
    <rPh sb="2" eb="4">
      <t>ヒロシマ</t>
    </rPh>
    <phoneticPr fontId="3"/>
  </si>
  <si>
    <t>広島学院B2</t>
    <rPh sb="0" eb="2">
      <t>ヒロシマ</t>
    </rPh>
    <rPh sb="2" eb="4">
      <t>ガクイン</t>
    </rPh>
    <phoneticPr fontId="3"/>
  </si>
  <si>
    <t>修道B3</t>
    <rPh sb="0" eb="2">
      <t>シュウドウ</t>
    </rPh>
    <phoneticPr fontId="3"/>
  </si>
  <si>
    <t>広島学院B3</t>
    <rPh sb="0" eb="2">
      <t>ヒロシマ</t>
    </rPh>
    <rPh sb="2" eb="4">
      <t>ガクイン</t>
    </rPh>
    <phoneticPr fontId="3"/>
  </si>
  <si>
    <t>ND清心E1</t>
    <rPh sb="2" eb="4">
      <t>セイシン</t>
    </rPh>
    <phoneticPr fontId="3"/>
  </si>
  <si>
    <t>ND清心E2</t>
    <rPh sb="2" eb="4">
      <t>セイシン</t>
    </rPh>
    <phoneticPr fontId="3"/>
  </si>
  <si>
    <t>呉三津田</t>
    <rPh sb="0" eb="1">
      <t>クレ</t>
    </rPh>
    <rPh sb="1" eb="4">
      <t>ミツダ</t>
    </rPh>
    <phoneticPr fontId="3"/>
  </si>
  <si>
    <t>気象知識</t>
    <rPh sb="0" eb="2">
      <t>キショウ</t>
    </rPh>
    <rPh sb="2" eb="4">
      <t>チシキ</t>
    </rPh>
    <phoneticPr fontId="3"/>
  </si>
  <si>
    <t>C</t>
    <phoneticPr fontId="3"/>
  </si>
  <si>
    <t>F</t>
    <phoneticPr fontId="3"/>
  </si>
  <si>
    <t>修道</t>
    <phoneticPr fontId="3"/>
  </si>
  <si>
    <t>廿日市</t>
    <phoneticPr fontId="3"/>
  </si>
  <si>
    <t>広大附属</t>
    <rPh sb="0" eb="2">
      <t>ヒロダイ</t>
    </rPh>
    <rPh sb="2" eb="4">
      <t>フゾク</t>
    </rPh>
    <phoneticPr fontId="3"/>
  </si>
  <si>
    <t>修道B1</t>
    <phoneticPr fontId="3"/>
  </si>
  <si>
    <t>修道B2</t>
  </si>
  <si>
    <t>修道B3</t>
  </si>
  <si>
    <t>亀井郁夫・北川雅直</t>
    <rPh sb="0" eb="2">
      <t>カメイ</t>
    </rPh>
    <rPh sb="2" eb="4">
      <t>イクオ</t>
    </rPh>
    <rPh sb="5" eb="7">
      <t>キタガワ</t>
    </rPh>
    <rPh sb="7" eb="9">
      <t>マサナオ</t>
    </rPh>
    <phoneticPr fontId="3"/>
  </si>
  <si>
    <t>清原真琴・内藤弘泰・藤田昌信</t>
    <rPh sb="5" eb="7">
      <t>ナイトウ</t>
    </rPh>
    <rPh sb="7" eb="9">
      <t>ヒロヤス</t>
    </rPh>
    <rPh sb="10" eb="12">
      <t>フジタ</t>
    </rPh>
    <rPh sb="12" eb="14">
      <t>マサノブ</t>
    </rPh>
    <phoneticPr fontId="3"/>
  </si>
  <si>
    <t>土本勝彦・内海良一・梶山耕成</t>
    <rPh sb="5" eb="7">
      <t>ウツミ</t>
    </rPh>
    <rPh sb="7" eb="9">
      <t>リョウイチ</t>
    </rPh>
    <rPh sb="10" eb="12">
      <t>カジヤマ</t>
    </rPh>
    <rPh sb="12" eb="13">
      <t>コウ</t>
    </rPh>
    <rPh sb="13" eb="14">
      <t>セイ</t>
    </rPh>
    <phoneticPr fontId="3"/>
  </si>
  <si>
    <t>畑中一志・藤井一郎・住田智明</t>
    <rPh sb="5" eb="7">
      <t>フジイ</t>
    </rPh>
    <rPh sb="7" eb="9">
      <t>イチロウ</t>
    </rPh>
    <rPh sb="10" eb="12">
      <t>スミダ</t>
    </rPh>
    <rPh sb="12" eb="14">
      <t>トモアキ</t>
    </rPh>
    <phoneticPr fontId="3"/>
  </si>
  <si>
    <t>森原博之・濱田英臣</t>
    <rPh sb="5" eb="7">
      <t>ハマダ</t>
    </rPh>
    <rPh sb="7" eb="9">
      <t>ヒデオミ</t>
    </rPh>
    <phoneticPr fontId="3"/>
  </si>
  <si>
    <t>人数</t>
    <rPh sb="0" eb="2">
      <t>ニンズウ</t>
    </rPh>
    <phoneticPr fontId="3"/>
  </si>
  <si>
    <t>下前知義</t>
    <rPh sb="0" eb="2">
      <t>シタマエ</t>
    </rPh>
    <rPh sb="2" eb="4">
      <t>トモヨシ</t>
    </rPh>
    <phoneticPr fontId="3"/>
  </si>
  <si>
    <t>広島学院B1</t>
    <rPh sb="0" eb="2">
      <t>ヒロシマ</t>
    </rPh>
    <rPh sb="2" eb="4">
      <t>ガクイン</t>
    </rPh>
    <phoneticPr fontId="3"/>
  </si>
  <si>
    <t>能勢欽也・吉見敏治</t>
    <rPh sb="5" eb="7">
      <t>ヨシミ</t>
    </rPh>
    <rPh sb="7" eb="9">
      <t>トシハル</t>
    </rPh>
    <phoneticPr fontId="3"/>
  </si>
  <si>
    <t>北林秀樹・門田宏和</t>
    <rPh sb="0" eb="2">
      <t>キタバヤシ</t>
    </rPh>
    <rPh sb="2" eb="4">
      <t>ヒデキ</t>
    </rPh>
    <rPh sb="5" eb="7">
      <t>カドタ</t>
    </rPh>
    <rPh sb="7" eb="9">
      <t>ヒロカズ</t>
    </rPh>
    <phoneticPr fontId="3"/>
  </si>
  <si>
    <t>栗栖弘康</t>
    <rPh sb="0" eb="2">
      <t>クリス</t>
    </rPh>
    <rPh sb="2" eb="4">
      <t>ヒロヤス</t>
    </rPh>
    <phoneticPr fontId="3"/>
  </si>
  <si>
    <t>海田</t>
    <phoneticPr fontId="3"/>
  </si>
  <si>
    <t>林善久・水野敬一</t>
    <rPh sb="0" eb="1">
      <t>ハヤシ</t>
    </rPh>
    <rPh sb="1" eb="3">
      <t>ヨシヒサ</t>
    </rPh>
    <phoneticPr fontId="3"/>
  </si>
  <si>
    <t>福永輝彦・懸川一明</t>
    <rPh sb="5" eb="7">
      <t>カケガワ</t>
    </rPh>
    <rPh sb="7" eb="9">
      <t>カズアキ</t>
    </rPh>
    <phoneticPr fontId="3"/>
  </si>
  <si>
    <t>松本雅樹・岸野まゆみ</t>
    <rPh sb="0" eb="2">
      <t>マツモト</t>
    </rPh>
    <rPh sb="2" eb="4">
      <t>マサキ</t>
    </rPh>
    <rPh sb="5" eb="7">
      <t>キシノ</t>
    </rPh>
    <phoneticPr fontId="3"/>
  </si>
  <si>
    <t>谷川効・中曽寛子</t>
    <rPh sb="0" eb="2">
      <t>タニガワ</t>
    </rPh>
    <rPh sb="2" eb="3">
      <t>コウ</t>
    </rPh>
    <rPh sb="4" eb="6">
      <t>ナカソ</t>
    </rPh>
    <rPh sb="6" eb="8">
      <t>ヒロコ</t>
    </rPh>
    <phoneticPr fontId="3"/>
  </si>
  <si>
    <t>所要時間３</t>
    <rPh sb="0" eb="2">
      <t>ショヨウ</t>
    </rPh>
    <rPh sb="2" eb="4">
      <t>ジカン</t>
    </rPh>
    <phoneticPr fontId="3"/>
  </si>
  <si>
    <t>規定時間３</t>
    <rPh sb="0" eb="2">
      <t>キテイ</t>
    </rPh>
    <rPh sb="2" eb="4">
      <t>ジカン</t>
    </rPh>
    <phoneticPr fontId="3"/>
  </si>
  <si>
    <t>所要時間４</t>
    <rPh sb="0" eb="2">
      <t>ショヨウ</t>
    </rPh>
    <rPh sb="2" eb="4">
      <t>ジカン</t>
    </rPh>
    <phoneticPr fontId="3"/>
  </si>
  <si>
    <t>規定時間４</t>
    <rPh sb="0" eb="2">
      <t>キテイ</t>
    </rPh>
    <rPh sb="2" eb="4">
      <t>ジカン</t>
    </rPh>
    <phoneticPr fontId="3"/>
  </si>
  <si>
    <t>体力点の計算方法について</t>
    <rPh sb="0" eb="2">
      <t>タイリョク</t>
    </rPh>
    <rPh sb="2" eb="3">
      <t>テン</t>
    </rPh>
    <rPh sb="4" eb="6">
      <t>ケイサン</t>
    </rPh>
    <rPh sb="6" eb="8">
      <t>ホウホウ</t>
    </rPh>
    <phoneticPr fontId="3"/>
  </si>
  <si>
    <t>この計算方法について，記しておく。</t>
    <rPh sb="2" eb="4">
      <t>ケイサン</t>
    </rPh>
    <rPh sb="4" eb="6">
      <t>ホウホウ</t>
    </rPh>
    <rPh sb="11" eb="12">
      <t>シル</t>
    </rPh>
    <phoneticPr fontId="3"/>
  </si>
  <si>
    <t>審査基準には体力１・２については１分につき0.5点減点。体力３・４については1分につき0.25点の減点とされている。</t>
    <rPh sb="0" eb="2">
      <t>シンサ</t>
    </rPh>
    <rPh sb="2" eb="4">
      <t>キジュン</t>
    </rPh>
    <rPh sb="6" eb="8">
      <t>タイリョク</t>
    </rPh>
    <rPh sb="17" eb="18">
      <t>プン</t>
    </rPh>
    <rPh sb="24" eb="25">
      <t>テン</t>
    </rPh>
    <rPh sb="25" eb="27">
      <t>ゲンテン</t>
    </rPh>
    <rPh sb="28" eb="30">
      <t>タイリョク</t>
    </rPh>
    <rPh sb="39" eb="40">
      <t>プン</t>
    </rPh>
    <rPh sb="47" eb="48">
      <t>テン</t>
    </rPh>
    <rPh sb="49" eb="51">
      <t>ゲンテン</t>
    </rPh>
    <phoneticPr fontId="3"/>
  </si>
  <si>
    <t>つまり，規定時間３を1分オーバーしてはじめて，-0.25点となるのではなく，オーバーした時点からその割合で減点は行われる。</t>
    <rPh sb="4" eb="6">
      <t>キテイ</t>
    </rPh>
    <rPh sb="6" eb="8">
      <t>ジカン</t>
    </rPh>
    <rPh sb="11" eb="12">
      <t>フン</t>
    </rPh>
    <rPh sb="28" eb="29">
      <t>テン</t>
    </rPh>
    <rPh sb="44" eb="46">
      <t>ジテン</t>
    </rPh>
    <rPh sb="50" eb="52">
      <t>ワリアイ</t>
    </rPh>
    <rPh sb="53" eb="55">
      <t>ゲンテン</t>
    </rPh>
    <rPh sb="56" eb="57">
      <t>オコナ</t>
    </rPh>
    <phoneticPr fontId="3"/>
  </si>
  <si>
    <t>審査点の最小単位は0.1点であるから，この0.25/分というのは割合を表しているに過ぎない。</t>
    <rPh sb="0" eb="2">
      <t>シンサ</t>
    </rPh>
    <rPh sb="2" eb="3">
      <t>テン</t>
    </rPh>
    <rPh sb="4" eb="6">
      <t>サイショウ</t>
    </rPh>
    <rPh sb="6" eb="8">
      <t>タンイ</t>
    </rPh>
    <rPh sb="12" eb="13">
      <t>テン</t>
    </rPh>
    <rPh sb="26" eb="27">
      <t>フン</t>
    </rPh>
    <rPh sb="32" eb="34">
      <t>ワリアイ</t>
    </rPh>
    <rPh sb="35" eb="36">
      <t>アラワ</t>
    </rPh>
    <rPh sb="41" eb="42">
      <t>ス</t>
    </rPh>
    <phoneticPr fontId="3"/>
  </si>
  <si>
    <t>したがって，体力３の点数で具体例を考えれば，規定時間が3:00:00だとして，</t>
    <rPh sb="6" eb="8">
      <t>タイリョク</t>
    </rPh>
    <rPh sb="10" eb="12">
      <t>テンスウ</t>
    </rPh>
    <rPh sb="13" eb="15">
      <t>グタイ</t>
    </rPh>
    <rPh sb="15" eb="16">
      <t>レイ</t>
    </rPh>
    <rPh sb="17" eb="18">
      <t>カンガ</t>
    </rPh>
    <rPh sb="22" eb="24">
      <t>キテイ</t>
    </rPh>
    <rPh sb="24" eb="26">
      <t>ジカン</t>
    </rPh>
    <phoneticPr fontId="3"/>
  </si>
  <si>
    <t>また0.1点減点するのに必要な時間は24秒となるが，これにも四捨五入を考慮しなくてはならない。</t>
    <rPh sb="5" eb="6">
      <t>テン</t>
    </rPh>
    <rPh sb="6" eb="8">
      <t>ゲンテン</t>
    </rPh>
    <rPh sb="12" eb="14">
      <t>ヒツヨウ</t>
    </rPh>
    <rPh sb="15" eb="17">
      <t>ジカン</t>
    </rPh>
    <rPh sb="20" eb="21">
      <t>ビョウ</t>
    </rPh>
    <rPh sb="30" eb="34">
      <t>シシャゴニュウ</t>
    </rPh>
    <rPh sb="35" eb="37">
      <t>コウリョ</t>
    </rPh>
    <phoneticPr fontId="3"/>
  </si>
  <si>
    <t>所要時間</t>
    <rPh sb="0" eb="2">
      <t>ショヨウ</t>
    </rPh>
    <rPh sb="2" eb="4">
      <t>ジカン</t>
    </rPh>
    <phoneticPr fontId="3"/>
  </si>
  <si>
    <t>点数</t>
    <rPh sb="0" eb="2">
      <t>テンスウ</t>
    </rPh>
    <phoneticPr fontId="3"/>
  </si>
  <si>
    <t>減点</t>
    <rPh sb="0" eb="2">
      <t>ゲンテン</t>
    </rPh>
    <phoneticPr fontId="3"/>
  </si>
  <si>
    <t>：</t>
    <phoneticPr fontId="3"/>
  </si>
  <si>
    <t>となるように，式をコーディングすると以下のようになる。</t>
    <rPh sb="7" eb="8">
      <t>シキ</t>
    </rPh>
    <rPh sb="18" eb="20">
      <t>イカ</t>
    </rPh>
    <phoneticPr fontId="3"/>
  </si>
  <si>
    <t>所要時間が規定時間を越えるとマイナスの項が発生し満点から減算される。</t>
    <rPh sb="0" eb="2">
      <t>ショヨウ</t>
    </rPh>
    <rPh sb="2" eb="4">
      <t>ジカン</t>
    </rPh>
    <rPh sb="5" eb="7">
      <t>キテイ</t>
    </rPh>
    <rPh sb="7" eb="9">
      <t>ジカン</t>
    </rPh>
    <rPh sb="10" eb="11">
      <t>コ</t>
    </rPh>
    <rPh sb="19" eb="20">
      <t>コウ</t>
    </rPh>
    <rPh sb="21" eb="23">
      <t>ハッセイ</t>
    </rPh>
    <rPh sb="24" eb="26">
      <t>マンテン</t>
    </rPh>
    <rPh sb="28" eb="30">
      <t>ゲンサン</t>
    </rPh>
    <phoneticPr fontId="3"/>
  </si>
  <si>
    <t>最高点と，最低点で挟む処理によりそれ以外の値をとらないようにする。</t>
    <rPh sb="0" eb="3">
      <t>サイコウテン</t>
    </rPh>
    <rPh sb="5" eb="7">
      <t>サイテイ</t>
    </rPh>
    <rPh sb="7" eb="8">
      <t>テン</t>
    </rPh>
    <rPh sb="9" eb="10">
      <t>ハサ</t>
    </rPh>
    <rPh sb="11" eb="13">
      <t>ショリ</t>
    </rPh>
    <rPh sb="18" eb="20">
      <t>イガイ</t>
    </rPh>
    <rPh sb="21" eb="22">
      <t>アタイ</t>
    </rPh>
    <phoneticPr fontId="3"/>
  </si>
  <si>
    <t>"=ROUND(MAX(MIN(満点+(規定時間-(所要時間))*60*24*0.25,最高点),最低点),1)"</t>
    <rPh sb="16" eb="18">
      <t>マンテン</t>
    </rPh>
    <rPh sb="20" eb="22">
      <t>キテイ</t>
    </rPh>
    <rPh sb="22" eb="24">
      <t>ジカン</t>
    </rPh>
    <rPh sb="26" eb="28">
      <t>ショヨウ</t>
    </rPh>
    <rPh sb="28" eb="30">
      <t>ジカン</t>
    </rPh>
    <rPh sb="44" eb="46">
      <t>サイコウ</t>
    </rPh>
    <rPh sb="46" eb="47">
      <t>テン</t>
    </rPh>
    <rPh sb="49" eb="51">
      <t>サイテイ</t>
    </rPh>
    <rPh sb="51" eb="52">
      <t>テン</t>
    </rPh>
    <phoneticPr fontId="3"/>
  </si>
  <si>
    <t>まず体力点の基準となるトップタイムは隊に拠らず男女各1つである。これはA-B，D-F間での比較の意味がある。</t>
    <rPh sb="2" eb="4">
      <t>タイリョク</t>
    </rPh>
    <rPh sb="4" eb="5">
      <t>テン</t>
    </rPh>
    <rPh sb="6" eb="8">
      <t>キジュン</t>
    </rPh>
    <rPh sb="18" eb="19">
      <t>タイ</t>
    </rPh>
    <rPh sb="20" eb="21">
      <t>ヨ</t>
    </rPh>
    <rPh sb="23" eb="25">
      <t>ダンジョ</t>
    </rPh>
    <rPh sb="25" eb="26">
      <t>カク</t>
    </rPh>
    <rPh sb="42" eb="43">
      <t>カン</t>
    </rPh>
    <rPh sb="45" eb="47">
      <t>ヒカク</t>
    </rPh>
    <rPh sb="48" eb="50">
      <t>イミ</t>
    </rPh>
    <phoneticPr fontId="3"/>
  </si>
  <si>
    <t>こうして体力点はEXCELにより時刻を入力することで自動的に計算されるようにする。</t>
    <rPh sb="4" eb="6">
      <t>タイリョク</t>
    </rPh>
    <rPh sb="6" eb="7">
      <t>テン</t>
    </rPh>
    <rPh sb="16" eb="18">
      <t>ジコク</t>
    </rPh>
    <rPh sb="19" eb="21">
      <t>ニュウリョク</t>
    </rPh>
    <rPh sb="26" eb="29">
      <t>ジドウテキ</t>
    </rPh>
    <rPh sb="30" eb="32">
      <t>ケイサン</t>
    </rPh>
    <phoneticPr fontId="3"/>
  </si>
  <si>
    <t>四捨五入とは0.05～0.14999・・・の減点が0.1点分の減点となるようにする。</t>
    <rPh sb="0" eb="4">
      <t>シシャゴニュウ</t>
    </rPh>
    <rPh sb="22" eb="24">
      <t>ゲンテン</t>
    </rPh>
    <rPh sb="28" eb="29">
      <t>テン</t>
    </rPh>
    <rPh sb="29" eb="30">
      <t>ブン</t>
    </rPh>
    <rPh sb="31" eb="33">
      <t>ゲンテン</t>
    </rPh>
    <phoneticPr fontId="3"/>
  </si>
  <si>
    <t>白１</t>
    <rPh sb="0" eb="1">
      <t>シロ</t>
    </rPh>
    <phoneticPr fontId="3"/>
  </si>
  <si>
    <t>白２</t>
    <rPh sb="0" eb="1">
      <t>シロ</t>
    </rPh>
    <phoneticPr fontId="3"/>
  </si>
  <si>
    <t>白３</t>
    <rPh sb="0" eb="1">
      <t>シロ</t>
    </rPh>
    <phoneticPr fontId="3"/>
  </si>
  <si>
    <t>白４</t>
    <rPh sb="0" eb="1">
      <t>シロ</t>
    </rPh>
    <phoneticPr fontId="3"/>
  </si>
  <si>
    <t>白５</t>
    <rPh sb="0" eb="1">
      <t>シロ</t>
    </rPh>
    <phoneticPr fontId="3"/>
  </si>
  <si>
    <t>白６</t>
    <rPh sb="0" eb="1">
      <t>シロ</t>
    </rPh>
    <phoneticPr fontId="3"/>
  </si>
  <si>
    <t>白７</t>
    <rPh sb="0" eb="1">
      <t>シロ</t>
    </rPh>
    <phoneticPr fontId="3"/>
  </si>
  <si>
    <t>白８</t>
    <rPh sb="0" eb="1">
      <t>シロ</t>
    </rPh>
    <phoneticPr fontId="3"/>
  </si>
  <si>
    <t>赤１</t>
    <rPh sb="0" eb="1">
      <t>アカ</t>
    </rPh>
    <phoneticPr fontId="3"/>
  </si>
  <si>
    <t>赤２</t>
    <rPh sb="0" eb="1">
      <t>アカ</t>
    </rPh>
    <phoneticPr fontId="3"/>
  </si>
  <si>
    <t>赤３</t>
    <rPh sb="0" eb="1">
      <t>アカ</t>
    </rPh>
    <phoneticPr fontId="3"/>
  </si>
  <si>
    <t>赤４</t>
    <rPh sb="0" eb="1">
      <t>アカ</t>
    </rPh>
    <phoneticPr fontId="3"/>
  </si>
  <si>
    <t>赤５</t>
    <rPh sb="0" eb="1">
      <t>アカ</t>
    </rPh>
    <phoneticPr fontId="3"/>
  </si>
  <si>
    <t>赤６</t>
    <rPh sb="0" eb="1">
      <t>アカ</t>
    </rPh>
    <phoneticPr fontId="3"/>
  </si>
  <si>
    <t>赤７</t>
    <rPh sb="0" eb="1">
      <t>アカ</t>
    </rPh>
    <phoneticPr fontId="3"/>
  </si>
  <si>
    <t>赤８</t>
    <rPh sb="0" eb="1">
      <t>アカ</t>
    </rPh>
    <phoneticPr fontId="3"/>
  </si>
  <si>
    <t>青１</t>
    <rPh sb="0" eb="1">
      <t>アオ</t>
    </rPh>
    <phoneticPr fontId="3"/>
  </si>
  <si>
    <t>青２</t>
    <rPh sb="0" eb="1">
      <t>アオ</t>
    </rPh>
    <phoneticPr fontId="3"/>
  </si>
  <si>
    <t>青３</t>
    <rPh sb="0" eb="1">
      <t>アオ</t>
    </rPh>
    <phoneticPr fontId="3"/>
  </si>
  <si>
    <t>黄１</t>
    <rPh sb="0" eb="1">
      <t>キ</t>
    </rPh>
    <phoneticPr fontId="3"/>
  </si>
  <si>
    <t>E</t>
    <phoneticPr fontId="3"/>
  </si>
  <si>
    <t>清心E</t>
    <rPh sb="0" eb="2">
      <t>セイシン</t>
    </rPh>
    <phoneticPr fontId="3"/>
  </si>
  <si>
    <t>重量不足0.2kg</t>
    <rPh sb="0" eb="2">
      <t>ジュウリョウ</t>
    </rPh>
    <rPh sb="2" eb="4">
      <t>ブソク</t>
    </rPh>
    <phoneticPr fontId="3"/>
  </si>
  <si>
    <t>重量不足0.3kg</t>
    <rPh sb="0" eb="2">
      <t>ジュウリョウ</t>
    </rPh>
    <rPh sb="2" eb="4">
      <t>ブソク</t>
    </rPh>
    <phoneticPr fontId="3"/>
  </si>
  <si>
    <t>ave</t>
    <phoneticPr fontId="3"/>
  </si>
  <si>
    <t>特S計量2</t>
    <rPh sb="0" eb="1">
      <t>トク</t>
    </rPh>
    <rPh sb="2" eb="4">
      <t>ケイリョウ</t>
    </rPh>
    <phoneticPr fontId="3"/>
  </si>
  <si>
    <t>特G計量2</t>
    <rPh sb="0" eb="1">
      <t>トク</t>
    </rPh>
    <rPh sb="2" eb="4">
      <t>ケイリョウ</t>
    </rPh>
    <phoneticPr fontId="3"/>
  </si>
  <si>
    <t>特G計量1</t>
    <rPh sb="0" eb="1">
      <t>トク</t>
    </rPh>
    <rPh sb="2" eb="4">
      <t>ケイリョウ</t>
    </rPh>
    <phoneticPr fontId="3"/>
  </si>
  <si>
    <t>特S計量1</t>
    <rPh sb="0" eb="1">
      <t>トク</t>
    </rPh>
    <rPh sb="2" eb="4">
      <t>ケイリョウ</t>
    </rPh>
    <phoneticPr fontId="3"/>
  </si>
  <si>
    <t>遅刻1分</t>
    <rPh sb="0" eb="2">
      <t>チコク</t>
    </rPh>
    <rPh sb="3" eb="4">
      <t>プン</t>
    </rPh>
    <phoneticPr fontId="3"/>
  </si>
  <si>
    <t>読図２</t>
    <rPh sb="0" eb="2">
      <t>ドクズ</t>
    </rPh>
    <phoneticPr fontId="3"/>
  </si>
  <si>
    <t>就寝時刻超過・遅刻2分</t>
    <rPh sb="0" eb="2">
      <t>シュウシン</t>
    </rPh>
    <rPh sb="2" eb="4">
      <t>ジコク</t>
    </rPh>
    <rPh sb="4" eb="6">
      <t>チョウカ</t>
    </rPh>
    <rPh sb="7" eb="9">
      <t>チコク</t>
    </rPh>
    <rPh sb="10" eb="11">
      <t>プン</t>
    </rPh>
    <phoneticPr fontId="3"/>
  </si>
  <si>
    <t>ゴミ散乱遅刻6分</t>
    <rPh sb="2" eb="4">
      <t>サンラン</t>
    </rPh>
    <rPh sb="4" eb="6">
      <t>チコク</t>
    </rPh>
    <rPh sb="7" eb="8">
      <t>プン</t>
    </rPh>
    <phoneticPr fontId="3"/>
  </si>
  <si>
    <t>隊ID</t>
    <rPh sb="0" eb="1">
      <t>タイ</t>
    </rPh>
    <phoneticPr fontId="3"/>
  </si>
  <si>
    <t>M2</t>
  </si>
  <si>
    <t>M3</t>
  </si>
  <si>
    <t>出発時刻１</t>
    <rPh sb="0" eb="2">
      <t>シュッパツ</t>
    </rPh>
    <rPh sb="2" eb="4">
      <t>ジコク</t>
    </rPh>
    <phoneticPr fontId="3"/>
  </si>
  <si>
    <t>到着時刻１</t>
    <rPh sb="0" eb="2">
      <t>トウチャク</t>
    </rPh>
    <rPh sb="2" eb="4">
      <t>ジコク</t>
    </rPh>
    <phoneticPr fontId="3"/>
  </si>
  <si>
    <t>終着時刻１</t>
    <rPh sb="0" eb="2">
      <t>シュウチャク</t>
    </rPh>
    <rPh sb="2" eb="4">
      <t>ジコク</t>
    </rPh>
    <phoneticPr fontId="3"/>
  </si>
  <si>
    <t>出発時刻２</t>
    <rPh sb="0" eb="2">
      <t>シュッパツ</t>
    </rPh>
    <rPh sb="2" eb="4">
      <t>ジコク</t>
    </rPh>
    <phoneticPr fontId="3"/>
  </si>
  <si>
    <t>到着時刻２</t>
    <rPh sb="0" eb="2">
      <t>トウチャク</t>
    </rPh>
    <rPh sb="2" eb="4">
      <t>ジコク</t>
    </rPh>
    <phoneticPr fontId="3"/>
  </si>
  <si>
    <t>終着時刻２</t>
    <rPh sb="0" eb="2">
      <t>シュウチャク</t>
    </rPh>
    <rPh sb="2" eb="4">
      <t>ジコク</t>
    </rPh>
    <phoneticPr fontId="3"/>
  </si>
  <si>
    <t>中川浩之</t>
  </si>
  <si>
    <t>諸富健人</t>
  </si>
  <si>
    <t>氏川智皓</t>
  </si>
  <si>
    <t>西村真唯</t>
  </si>
  <si>
    <t>A02</t>
  </si>
  <si>
    <t>松田祥吾</t>
  </si>
  <si>
    <t>菊田邦彦</t>
  </si>
  <si>
    <t>高岡大貴</t>
  </si>
  <si>
    <t>森將裕</t>
  </si>
  <si>
    <t>A03</t>
  </si>
  <si>
    <t>柴恭史</t>
  </si>
  <si>
    <t>西尾曜</t>
  </si>
  <si>
    <t>谷保宏幸</t>
  </si>
  <si>
    <t>松藤裕介</t>
  </si>
  <si>
    <t>A04</t>
  </si>
  <si>
    <t>山口剛宏</t>
  </si>
  <si>
    <t>藤原優也</t>
  </si>
  <si>
    <t>寺田伸吾</t>
  </si>
  <si>
    <t>吉田修一郎</t>
  </si>
  <si>
    <t>A05</t>
  </si>
  <si>
    <t>永田昌士</t>
  </si>
  <si>
    <t>新見拓</t>
  </si>
  <si>
    <t>星本達也</t>
  </si>
  <si>
    <t>石川晋太郎</t>
  </si>
  <si>
    <t>A06</t>
  </si>
  <si>
    <t>中嶋稔</t>
  </si>
  <si>
    <t>原雄大</t>
  </si>
  <si>
    <t>冨田翔</t>
  </si>
  <si>
    <t>勝村秀樹</t>
  </si>
  <si>
    <t>A07</t>
  </si>
  <si>
    <t>高智彬徳</t>
  </si>
  <si>
    <t>吉松一樹</t>
  </si>
  <si>
    <t>竹内敦郎</t>
  </si>
  <si>
    <t>吉国厚</t>
  </si>
  <si>
    <t>A08</t>
  </si>
  <si>
    <t>江上貴一</t>
  </si>
  <si>
    <t>藤井祥貴</t>
  </si>
  <si>
    <t>入江仁悟</t>
  </si>
  <si>
    <t>市木春友</t>
  </si>
  <si>
    <t>A09</t>
  </si>
  <si>
    <t>大塚　正雄</t>
  </si>
  <si>
    <t>上田　尊史</t>
  </si>
  <si>
    <t>原井　健司</t>
  </si>
  <si>
    <t>上岡　賢大</t>
  </si>
  <si>
    <t>A10</t>
  </si>
  <si>
    <t>藤井健司</t>
  </si>
  <si>
    <t>松重明宏</t>
  </si>
  <si>
    <t>山田直幸</t>
  </si>
  <si>
    <t>清水皓之</t>
  </si>
  <si>
    <t>B01</t>
  </si>
  <si>
    <t>井野　光</t>
  </si>
  <si>
    <t>三好　龍</t>
  </si>
  <si>
    <t>岡村　弘明</t>
  </si>
  <si>
    <t>小川　陽介</t>
  </si>
  <si>
    <t>B02</t>
  </si>
  <si>
    <t>新松寛明</t>
  </si>
  <si>
    <t>小松朗大</t>
  </si>
  <si>
    <t>吉岡幸信</t>
  </si>
  <si>
    <t>原田朋礼</t>
  </si>
  <si>
    <t>水野博文</t>
  </si>
  <si>
    <t>B03</t>
  </si>
  <si>
    <t>赤星佳紀</t>
  </si>
  <si>
    <t>滝川裕史</t>
  </si>
  <si>
    <t>佐藤只空</t>
  </si>
  <si>
    <t>竹本義孝</t>
  </si>
  <si>
    <t>B04</t>
  </si>
  <si>
    <t>原田翔輔</t>
  </si>
  <si>
    <t>槙野健太</t>
  </si>
  <si>
    <t>槌家健太</t>
  </si>
  <si>
    <t>柴坂尚樹</t>
  </si>
  <si>
    <t>鳥崎慶輔</t>
  </si>
  <si>
    <t>B05</t>
  </si>
  <si>
    <t>大崎純</t>
  </si>
  <si>
    <t>百出卓実</t>
  </si>
  <si>
    <t>田邊洋平</t>
  </si>
  <si>
    <t>B06</t>
  </si>
  <si>
    <t>澤龍治郎</t>
  </si>
  <si>
    <t>内田雄也</t>
  </si>
  <si>
    <t>高田康穂</t>
  </si>
  <si>
    <t>濱崎智徳</t>
  </si>
  <si>
    <t>B07</t>
  </si>
  <si>
    <t>須賀悠生</t>
  </si>
  <si>
    <t>藤田倫雄</t>
  </si>
  <si>
    <t>重長明良</t>
  </si>
  <si>
    <t>子鷹狩裕太</t>
  </si>
  <si>
    <t>B08</t>
  </si>
  <si>
    <t>大久保拓哉</t>
  </si>
  <si>
    <t>杉野秀雄</t>
  </si>
  <si>
    <t>中下彰人</t>
  </si>
  <si>
    <t>銭谷健太郎</t>
  </si>
  <si>
    <t>B09</t>
  </si>
  <si>
    <t>中嶋圭吾</t>
  </si>
  <si>
    <t>菊川幸浩</t>
  </si>
  <si>
    <t>黒田裕太朗</t>
  </si>
  <si>
    <t>B10</t>
  </si>
  <si>
    <t>森原龍也</t>
  </si>
  <si>
    <t>小山田和尚</t>
  </si>
  <si>
    <t>高本直樹</t>
  </si>
  <si>
    <t>早川広樹</t>
  </si>
  <si>
    <t>B11</t>
  </si>
  <si>
    <t>古屋翼</t>
  </si>
  <si>
    <t>鈴木洋平</t>
  </si>
  <si>
    <t>武分渉</t>
  </si>
  <si>
    <t>B12</t>
  </si>
  <si>
    <t>新屋裕太</t>
  </si>
  <si>
    <t>末松大介</t>
  </si>
  <si>
    <t>前岡健一郎</t>
  </si>
  <si>
    <t>八木優樹</t>
  </si>
  <si>
    <t>隅智亮</t>
  </si>
  <si>
    <t>B13</t>
  </si>
  <si>
    <t>若宮寛尭</t>
  </si>
  <si>
    <t>阿慈谷諭</t>
  </si>
  <si>
    <t>乃美大佑</t>
  </si>
  <si>
    <t>田辺創一郎</t>
  </si>
  <si>
    <t>田中大智</t>
  </si>
  <si>
    <t>B14</t>
  </si>
  <si>
    <t>今村真太郎</t>
  </si>
  <si>
    <t>河内政彦</t>
  </si>
  <si>
    <t>竹原正之</t>
  </si>
  <si>
    <t>山口純平</t>
  </si>
  <si>
    <t>渡辺友彬</t>
  </si>
  <si>
    <t>B15</t>
  </si>
  <si>
    <t>大上龍祐</t>
  </si>
  <si>
    <t>青山祐樹</t>
  </si>
  <si>
    <t>山中陽介</t>
  </si>
  <si>
    <t>前田光毅</t>
  </si>
  <si>
    <t>B16</t>
  </si>
  <si>
    <t>木原琢也</t>
  </si>
  <si>
    <t>山下真史</t>
  </si>
  <si>
    <t>後藤隆史</t>
  </si>
  <si>
    <t>平崎麻矢</t>
  </si>
  <si>
    <t>森中絵梨</t>
  </si>
  <si>
    <t>窪田志保</t>
  </si>
  <si>
    <t>久藤博子</t>
  </si>
  <si>
    <t>D02</t>
  </si>
  <si>
    <t>米澤栄里</t>
  </si>
  <si>
    <t>糸谷悠美</t>
  </si>
  <si>
    <t>佐々木未緒</t>
  </si>
  <si>
    <t>森元香織</t>
  </si>
  <si>
    <t>D03</t>
  </si>
  <si>
    <t>石橋夏実</t>
  </si>
  <si>
    <t>瀬戸めぐみ</t>
  </si>
  <si>
    <t>内山慶子</t>
  </si>
  <si>
    <t>嶋弦音</t>
  </si>
  <si>
    <t>D04</t>
  </si>
  <si>
    <t>松岡知</t>
  </si>
  <si>
    <t>松浦祐未</t>
  </si>
  <si>
    <t>来間菜都美</t>
  </si>
  <si>
    <t>佐藤あゆみ</t>
  </si>
  <si>
    <t>D05</t>
  </si>
  <si>
    <t>三浦理沙</t>
  </si>
  <si>
    <t>武岡菜月</t>
  </si>
  <si>
    <t>石田恵理</t>
  </si>
  <si>
    <t>西野志歩</t>
  </si>
  <si>
    <t>D06</t>
  </si>
  <si>
    <t>大本晋子</t>
  </si>
  <si>
    <t>大下まいみ</t>
  </si>
  <si>
    <t>高田克美</t>
  </si>
  <si>
    <t>藤田佳世</t>
  </si>
  <si>
    <t>日焼里美</t>
  </si>
  <si>
    <t>西村知</t>
  </si>
  <si>
    <t>岡崎綾女</t>
  </si>
  <si>
    <t>杉原奈央子</t>
  </si>
  <si>
    <t>松井千代子</t>
  </si>
  <si>
    <t>E02</t>
  </si>
  <si>
    <t>上ノ瀬綾子</t>
  </si>
  <si>
    <t>岡口綾</t>
  </si>
  <si>
    <t>吉川彩美</t>
  </si>
  <si>
    <t>米貞貴弘</t>
  </si>
  <si>
    <t>羽奈洋介</t>
  </si>
  <si>
    <t>堀本純矢</t>
  </si>
  <si>
    <t>横山　雄治</t>
  </si>
  <si>
    <t>山口　真毅</t>
  </si>
  <si>
    <t>高沖　宣明</t>
  </si>
  <si>
    <t>C02</t>
  </si>
  <si>
    <t>柴山義夫</t>
  </si>
  <si>
    <t>吉岡賢志</t>
  </si>
  <si>
    <t>秋元尚史</t>
  </si>
  <si>
    <t>C03</t>
  </si>
  <si>
    <t>髙橋和之</t>
  </si>
  <si>
    <t>有松優</t>
  </si>
  <si>
    <t>高松智弘</t>
  </si>
  <si>
    <t>C04</t>
  </si>
  <si>
    <t>胡谷大志</t>
  </si>
  <si>
    <t>C05</t>
  </si>
  <si>
    <t>福井大祐</t>
  </si>
  <si>
    <t>寺畠敏彦</t>
  </si>
  <si>
    <t>鶴村卓</t>
  </si>
  <si>
    <t>田中克明</t>
  </si>
  <si>
    <t>C06</t>
  </si>
  <si>
    <t>大川祐貴</t>
  </si>
  <si>
    <t>下藤裕介</t>
  </si>
  <si>
    <t>高下貴弘</t>
  </si>
  <si>
    <t>C07</t>
  </si>
  <si>
    <t>佐藤祐治</t>
  </si>
  <si>
    <t>岩野大佑</t>
  </si>
  <si>
    <t>C08</t>
  </si>
  <si>
    <t>小野剛</t>
  </si>
  <si>
    <t>谷英宣</t>
  </si>
  <si>
    <t>森本遥</t>
  </si>
  <si>
    <t>川崎勇弥</t>
  </si>
  <si>
    <t>C09</t>
  </si>
  <si>
    <t>田村健</t>
  </si>
  <si>
    <t>C10</t>
  </si>
  <si>
    <t>埜上裕貴</t>
  </si>
  <si>
    <t>C11</t>
  </si>
  <si>
    <t>伊藤翔太郎</t>
  </si>
  <si>
    <t>吉川哲矢</t>
  </si>
  <si>
    <t>C12</t>
  </si>
  <si>
    <t>今川雅博</t>
  </si>
  <si>
    <t>林真琴</t>
  </si>
  <si>
    <t>水永深雪</t>
  </si>
  <si>
    <t>山下仁実</t>
  </si>
  <si>
    <t>F02</t>
  </si>
  <si>
    <t>坂本麻衣子</t>
  </si>
  <si>
    <t>松原美栄</t>
  </si>
  <si>
    <t>福田幸恵</t>
  </si>
  <si>
    <t>F03</t>
  </si>
  <si>
    <t>森田智子</t>
  </si>
  <si>
    <t>F04</t>
  </si>
  <si>
    <t>堀内康美</t>
  </si>
  <si>
    <t>F05</t>
  </si>
  <si>
    <t>手島恵理</t>
  </si>
  <si>
    <t>F06</t>
  </si>
  <si>
    <t>大下みのり</t>
  </si>
  <si>
    <t>加藤しおり</t>
  </si>
  <si>
    <t>岡崎みゆき</t>
  </si>
  <si>
    <t>岡田寿枝</t>
  </si>
  <si>
    <t>F07</t>
  </si>
  <si>
    <t>岩田真由美</t>
  </si>
  <si>
    <t>萩原由香理</t>
  </si>
  <si>
    <t>F08</t>
  </si>
  <si>
    <t>渡部円</t>
  </si>
  <si>
    <t>中村真知</t>
  </si>
  <si>
    <t>F09</t>
  </si>
  <si>
    <t>松浦宏子</t>
  </si>
  <si>
    <t>村上沙也加</t>
  </si>
  <si>
    <t>ゼッケン</t>
    <phoneticPr fontId="3"/>
  </si>
  <si>
    <t>C.L.</t>
    <phoneticPr fontId="3"/>
  </si>
  <si>
    <t>S.L.</t>
    <phoneticPr fontId="3"/>
  </si>
  <si>
    <t>M1</t>
    <phoneticPr fontId="3"/>
  </si>
  <si>
    <t>A01</t>
    <phoneticPr fontId="3"/>
  </si>
  <si>
    <t>広大附属B1</t>
    <phoneticPr fontId="3"/>
  </si>
  <si>
    <t>高陽B1</t>
    <phoneticPr fontId="3"/>
  </si>
  <si>
    <t>広島学院B1</t>
    <phoneticPr fontId="3"/>
  </si>
  <si>
    <t>広大附属B2</t>
    <phoneticPr fontId="3"/>
  </si>
  <si>
    <t>高陽B2</t>
    <phoneticPr fontId="3"/>
  </si>
  <si>
    <t>広島学院B2</t>
    <phoneticPr fontId="3"/>
  </si>
  <si>
    <t>広島学院B3</t>
    <phoneticPr fontId="3"/>
  </si>
  <si>
    <t>D01</t>
    <phoneticPr fontId="3"/>
  </si>
  <si>
    <t>リタイア</t>
    <phoneticPr fontId="3"/>
  </si>
  <si>
    <t>E01</t>
    <phoneticPr fontId="3"/>
  </si>
  <si>
    <t>B01</t>
    <phoneticPr fontId="3"/>
  </si>
  <si>
    <t>呉工業B2</t>
    <phoneticPr fontId="3"/>
  </si>
  <si>
    <t>C01</t>
    <phoneticPr fontId="3"/>
  </si>
  <si>
    <t>呉工業B1</t>
    <phoneticPr fontId="3"/>
  </si>
  <si>
    <r>
      <t>(</t>
    </r>
    <r>
      <rPr>
        <sz val="10.5"/>
        <rFont val="ＭＳ 明朝"/>
        <family val="1"/>
        <charset val="128"/>
      </rPr>
      <t>堀田一希</t>
    </r>
    <r>
      <rPr>
        <sz val="10.5"/>
        <rFont val="Century"/>
        <family val="1"/>
      </rPr>
      <t>)</t>
    </r>
  </si>
  <si>
    <t>F01</t>
    <phoneticPr fontId="3"/>
  </si>
  <si>
    <t>県民の森</t>
    <rPh sb="0" eb="2">
      <t>ケンミン</t>
    </rPh>
    <rPh sb="3" eb="4">
      <t>モリ</t>
    </rPh>
    <phoneticPr fontId="3"/>
  </si>
  <si>
    <t>絵下山</t>
    <rPh sb="0" eb="1">
      <t>エ</t>
    </rPh>
    <rPh sb="1" eb="3">
      <t>ゲザン</t>
    </rPh>
    <phoneticPr fontId="3"/>
  </si>
  <si>
    <t>因島</t>
    <rPh sb="0" eb="2">
      <t>インノシマ</t>
    </rPh>
    <phoneticPr fontId="3"/>
  </si>
  <si>
    <t>恐羅漢</t>
    <rPh sb="0" eb="1">
      <t>オソ</t>
    </rPh>
    <rPh sb="1" eb="3">
      <t>ラカン</t>
    </rPh>
    <phoneticPr fontId="3"/>
  </si>
  <si>
    <t>体力１</t>
  </si>
  <si>
    <t>体力２</t>
  </si>
  <si>
    <t>装備・服装</t>
  </si>
  <si>
    <t>A</t>
    <phoneticPr fontId="3"/>
  </si>
  <si>
    <t>修道</t>
    <phoneticPr fontId="3"/>
  </si>
  <si>
    <t>A</t>
    <phoneticPr fontId="3"/>
  </si>
  <si>
    <t>廿日市</t>
    <phoneticPr fontId="3"/>
  </si>
  <si>
    <t>A</t>
    <phoneticPr fontId="3"/>
  </si>
  <si>
    <t>A</t>
    <phoneticPr fontId="3"/>
  </si>
  <si>
    <t>A</t>
    <phoneticPr fontId="3"/>
  </si>
  <si>
    <t>B</t>
    <phoneticPr fontId="3"/>
  </si>
  <si>
    <t>修道B1</t>
    <phoneticPr fontId="3"/>
  </si>
  <si>
    <t>B</t>
    <phoneticPr fontId="3"/>
  </si>
  <si>
    <t>D</t>
    <phoneticPr fontId="3"/>
  </si>
  <si>
    <t>D</t>
    <phoneticPr fontId="3"/>
  </si>
  <si>
    <t>C</t>
    <phoneticPr fontId="3"/>
  </si>
  <si>
    <t>C</t>
    <phoneticPr fontId="3"/>
  </si>
  <si>
    <t>C</t>
    <phoneticPr fontId="3"/>
  </si>
  <si>
    <t>C</t>
    <phoneticPr fontId="3"/>
  </si>
  <si>
    <t>C</t>
    <phoneticPr fontId="3"/>
  </si>
  <si>
    <t>海田</t>
    <phoneticPr fontId="3"/>
  </si>
  <si>
    <t>C</t>
    <phoneticPr fontId="3"/>
  </si>
  <si>
    <t>F</t>
    <phoneticPr fontId="3"/>
  </si>
  <si>
    <t>：</t>
    <phoneticPr fontId="3"/>
  </si>
  <si>
    <t>大潰山・大佐山</t>
    <rPh sb="0" eb="1">
      <t>オオ</t>
    </rPh>
    <rPh sb="1" eb="2">
      <t>ツブ</t>
    </rPh>
    <rPh sb="2" eb="3">
      <t>ヤマ</t>
    </rPh>
    <rPh sb="4" eb="6">
      <t>オオサ</t>
    </rPh>
    <rPh sb="6" eb="7">
      <t>ヤマ</t>
    </rPh>
    <phoneticPr fontId="3"/>
  </si>
  <si>
    <t>安芸</t>
    <rPh sb="0" eb="2">
      <t>アキ</t>
    </rPh>
    <phoneticPr fontId="3"/>
  </si>
  <si>
    <t>C</t>
    <phoneticPr fontId="3"/>
  </si>
  <si>
    <t>広島国際学院</t>
    <rPh sb="0" eb="2">
      <t>ヒロシマ</t>
    </rPh>
    <rPh sb="2" eb="4">
      <t>コクサイ</t>
    </rPh>
    <rPh sb="4" eb="6">
      <t>ガクイン</t>
    </rPh>
    <phoneticPr fontId="3"/>
  </si>
  <si>
    <t>F</t>
    <phoneticPr fontId="3"/>
  </si>
  <si>
    <t>読図１</t>
    <rPh sb="0" eb="2">
      <t>ドクズ</t>
    </rPh>
    <phoneticPr fontId="3"/>
  </si>
  <si>
    <t>審査基準には体力１・２については１分につき0.5点減点。体力３・４については1分につき0.2点の減点とされている。</t>
    <rPh sb="0" eb="2">
      <t>シンサ</t>
    </rPh>
    <rPh sb="2" eb="4">
      <t>キジュン</t>
    </rPh>
    <rPh sb="6" eb="8">
      <t>タイリョク</t>
    </rPh>
    <rPh sb="17" eb="18">
      <t>プン</t>
    </rPh>
    <rPh sb="24" eb="25">
      <t>テン</t>
    </rPh>
    <rPh sb="25" eb="27">
      <t>ゲンテン</t>
    </rPh>
    <rPh sb="28" eb="30">
      <t>タイリョク</t>
    </rPh>
    <rPh sb="39" eb="40">
      <t>プン</t>
    </rPh>
    <rPh sb="46" eb="47">
      <t>テン</t>
    </rPh>
    <rPh sb="48" eb="50">
      <t>ゲンテン</t>
    </rPh>
    <phoneticPr fontId="3"/>
  </si>
  <si>
    <t>審査点の最小単位は0.1点であるから，この0.2/分というのは割合を表しているに過ぎない。</t>
    <rPh sb="0" eb="2">
      <t>シンサ</t>
    </rPh>
    <rPh sb="2" eb="3">
      <t>テン</t>
    </rPh>
    <rPh sb="4" eb="6">
      <t>サイショウ</t>
    </rPh>
    <rPh sb="6" eb="8">
      <t>タンイ</t>
    </rPh>
    <rPh sb="12" eb="13">
      <t>テン</t>
    </rPh>
    <rPh sb="25" eb="26">
      <t>フン</t>
    </rPh>
    <rPh sb="31" eb="33">
      <t>ワリアイ</t>
    </rPh>
    <rPh sb="34" eb="35">
      <t>アラワ</t>
    </rPh>
    <rPh sb="40" eb="41">
      <t>ス</t>
    </rPh>
    <phoneticPr fontId="3"/>
  </si>
  <si>
    <t>つまり，規定時間３を1分オーバーしてはじめて，-0.2点となるのではなく，オーバーした時点からその割合で減点は行われる。</t>
    <rPh sb="4" eb="6">
      <t>キテイ</t>
    </rPh>
    <rPh sb="6" eb="8">
      <t>ジカン</t>
    </rPh>
    <rPh sb="11" eb="12">
      <t>フン</t>
    </rPh>
    <rPh sb="27" eb="28">
      <t>テン</t>
    </rPh>
    <rPh sb="43" eb="45">
      <t>ジテン</t>
    </rPh>
    <rPh sb="49" eb="51">
      <t>ワリアイ</t>
    </rPh>
    <rPh sb="52" eb="54">
      <t>ゲンテン</t>
    </rPh>
    <rPh sb="55" eb="56">
      <t>オコナ</t>
    </rPh>
    <phoneticPr fontId="3"/>
  </si>
  <si>
    <t>また0.1点減点するのに必要な時間は30秒となるが，これにも四捨五入を考慮しなくてはならない。</t>
    <rPh sb="5" eb="6">
      <t>テン</t>
    </rPh>
    <rPh sb="6" eb="8">
      <t>ゲンテン</t>
    </rPh>
    <rPh sb="12" eb="14">
      <t>ヒツヨウ</t>
    </rPh>
    <rPh sb="15" eb="17">
      <t>ジカン</t>
    </rPh>
    <rPh sb="20" eb="21">
      <t>ビョウ</t>
    </rPh>
    <rPh sb="30" eb="34">
      <t>シシャゴニュウ</t>
    </rPh>
    <rPh sb="35" eb="37">
      <t>コウリョ</t>
    </rPh>
    <phoneticPr fontId="3"/>
  </si>
  <si>
    <t>"=ROUND(MAX(MIN(満点+(規定時間-(所要時間))*60*24*0.2,最高点),最低点),1)"</t>
    <rPh sb="16" eb="18">
      <t>マンテン</t>
    </rPh>
    <rPh sb="20" eb="22">
      <t>キテイ</t>
    </rPh>
    <rPh sb="22" eb="24">
      <t>ジカン</t>
    </rPh>
    <rPh sb="26" eb="28">
      <t>ショヨウ</t>
    </rPh>
    <rPh sb="28" eb="30">
      <t>ジカン</t>
    </rPh>
    <rPh sb="43" eb="45">
      <t>サイコウ</t>
    </rPh>
    <rPh sb="45" eb="46">
      <t>テン</t>
    </rPh>
    <rPh sb="48" eb="50">
      <t>サイテイ</t>
    </rPh>
    <rPh sb="50" eb="51">
      <t>テン</t>
    </rPh>
    <phoneticPr fontId="3"/>
  </si>
  <si>
    <t>：</t>
    <phoneticPr fontId="3"/>
  </si>
  <si>
    <t>2日目43.8kg-0.2kg</t>
    <rPh sb="1" eb="2">
      <t>ニチ</t>
    </rPh>
    <rPh sb="2" eb="3">
      <t>メ</t>
    </rPh>
    <phoneticPr fontId="3"/>
  </si>
  <si>
    <t>1日目11.0kg-37.0kg、2日目5.6kg-38.4kg</t>
    <rPh sb="1" eb="2">
      <t>ニチ</t>
    </rPh>
    <rPh sb="2" eb="3">
      <t>メ</t>
    </rPh>
    <rPh sb="18" eb="19">
      <t>ニチ</t>
    </rPh>
    <rPh sb="19" eb="20">
      <t>メ</t>
    </rPh>
    <phoneticPr fontId="3"/>
  </si>
  <si>
    <t>龍王山・鉢ヶ峰</t>
    <rPh sb="0" eb="1">
      <t>リュウ</t>
    </rPh>
    <rPh sb="1" eb="2">
      <t>オウ</t>
    </rPh>
    <rPh sb="2" eb="3">
      <t>ザン</t>
    </rPh>
    <rPh sb="4" eb="5">
      <t>ハチ</t>
    </rPh>
    <rPh sb="6" eb="7">
      <t>ミネ</t>
    </rPh>
    <phoneticPr fontId="3"/>
  </si>
  <si>
    <t>五日市</t>
    <rPh sb="0" eb="1">
      <t>５</t>
    </rPh>
    <phoneticPr fontId="3"/>
  </si>
  <si>
    <t>広陵</t>
    <phoneticPr fontId="3"/>
  </si>
  <si>
    <t>高陽</t>
    <phoneticPr fontId="12"/>
  </si>
  <si>
    <t>高陽</t>
    <phoneticPr fontId="3"/>
  </si>
  <si>
    <t>広島学院B4</t>
    <rPh sb="0" eb="2">
      <t>ヒロシマ</t>
    </rPh>
    <rPh sb="2" eb="4">
      <t>ガクイン</t>
    </rPh>
    <phoneticPr fontId="3"/>
  </si>
  <si>
    <t>広島学院B5</t>
    <rPh sb="0" eb="2">
      <t>ヒロシマ</t>
    </rPh>
    <rPh sb="2" eb="4">
      <t>ガクイン</t>
    </rPh>
    <phoneticPr fontId="3"/>
  </si>
  <si>
    <t>白９</t>
    <rPh sb="0" eb="1">
      <t>シロ</t>
    </rPh>
    <phoneticPr fontId="3"/>
  </si>
  <si>
    <t>広島観音</t>
    <rPh sb="0" eb="2">
      <t>ヒロシマ</t>
    </rPh>
    <rPh sb="2" eb="3">
      <t>カン</t>
    </rPh>
    <rPh sb="3" eb="4">
      <t>オン</t>
    </rPh>
    <phoneticPr fontId="12"/>
  </si>
  <si>
    <t>C</t>
    <phoneticPr fontId="3"/>
  </si>
  <si>
    <t>ave</t>
    <phoneticPr fontId="12"/>
  </si>
  <si>
    <t>記録１</t>
    <rPh sb="0" eb="2">
      <t>キロク</t>
    </rPh>
    <phoneticPr fontId="12"/>
  </si>
  <si>
    <t>記録２</t>
    <rPh sb="0" eb="2">
      <t>キロク</t>
    </rPh>
    <phoneticPr fontId="12"/>
  </si>
  <si>
    <t>TS1</t>
  </si>
  <si>
    <t>TG1</t>
  </si>
  <si>
    <t>G1</t>
  </si>
  <si>
    <t>TS2</t>
  </si>
  <si>
    <t>TG2</t>
  </si>
  <si>
    <t>G2</t>
  </si>
  <si>
    <t>重量不足0.3kg-0.3点</t>
    <rPh sb="0" eb="2">
      <t>ジュウリョウ</t>
    </rPh>
    <rPh sb="2" eb="4">
      <t>ブソク</t>
    </rPh>
    <rPh sb="13" eb="14">
      <t>テン</t>
    </rPh>
    <phoneticPr fontId="12"/>
  </si>
  <si>
    <t>ave</t>
  </si>
  <si>
    <t>高陽</t>
    <phoneticPr fontId="3"/>
  </si>
  <si>
    <t>高陽B1</t>
    <phoneticPr fontId="3"/>
  </si>
  <si>
    <t>白１０</t>
    <rPh sb="0" eb="1">
      <t>シロ</t>
    </rPh>
    <phoneticPr fontId="3"/>
  </si>
  <si>
    <t>白１１</t>
    <rPh sb="0" eb="1">
      <t>シロ</t>
    </rPh>
    <phoneticPr fontId="3"/>
  </si>
  <si>
    <t>白１２</t>
    <rPh sb="0" eb="1">
      <t>シロ</t>
    </rPh>
    <phoneticPr fontId="3"/>
  </si>
  <si>
    <t>白１３</t>
    <rPh sb="0" eb="1">
      <t>シロ</t>
    </rPh>
    <phoneticPr fontId="3"/>
  </si>
  <si>
    <t>高陽B2</t>
    <rPh sb="0" eb="1">
      <t>コウ</t>
    </rPh>
    <rPh sb="1" eb="2">
      <t>ヨウ</t>
    </rPh>
    <phoneticPr fontId="3"/>
  </si>
  <si>
    <t>修道B4</t>
    <rPh sb="0" eb="2">
      <t>シュウドウ</t>
    </rPh>
    <phoneticPr fontId="3"/>
  </si>
  <si>
    <t>清心</t>
    <phoneticPr fontId="3"/>
  </si>
  <si>
    <t>広島基町</t>
    <rPh sb="0" eb="2">
      <t>ヒロシマ</t>
    </rPh>
    <rPh sb="2" eb="4">
      <t>モトマチ</t>
    </rPh>
    <phoneticPr fontId="12"/>
  </si>
  <si>
    <t>青４</t>
    <rPh sb="0" eb="1">
      <t>アオ</t>
    </rPh>
    <phoneticPr fontId="3"/>
  </si>
  <si>
    <t>E</t>
    <phoneticPr fontId="3"/>
  </si>
  <si>
    <t>七国見山・野呂山</t>
    <rPh sb="0" eb="1">
      <t>ナナ</t>
    </rPh>
    <rPh sb="1" eb="3">
      <t>クニミ</t>
    </rPh>
    <rPh sb="3" eb="4">
      <t>ヤマ</t>
    </rPh>
    <rPh sb="5" eb="7">
      <t>ノロ</t>
    </rPh>
    <rPh sb="7" eb="8">
      <t>サン</t>
    </rPh>
    <phoneticPr fontId="3"/>
  </si>
  <si>
    <t>体力３</t>
    <phoneticPr fontId="3"/>
  </si>
  <si>
    <t>体力４</t>
    <phoneticPr fontId="3"/>
  </si>
  <si>
    <t>11..09</t>
    <phoneticPr fontId="3"/>
  </si>
  <si>
    <t>重量不足0.1kg-0.1点</t>
    <rPh sb="0" eb="2">
      <t>ジュウリョウ</t>
    </rPh>
    <rPh sb="2" eb="4">
      <t>ブソク</t>
    </rPh>
    <rPh sb="13" eb="14">
      <t>テン</t>
    </rPh>
    <phoneticPr fontId="12"/>
  </si>
  <si>
    <t>基町</t>
    <rPh sb="0" eb="2">
      <t>モトマチ</t>
    </rPh>
    <phoneticPr fontId="3"/>
  </si>
  <si>
    <t>基町</t>
    <rPh sb="0" eb="2">
      <t>モトマチ</t>
    </rPh>
    <phoneticPr fontId="12"/>
  </si>
  <si>
    <t>E</t>
    <phoneticPr fontId="3"/>
  </si>
  <si>
    <t>黄１１</t>
    <rPh sb="0" eb="1">
      <t>キ</t>
    </rPh>
    <phoneticPr fontId="3"/>
  </si>
  <si>
    <t>黄１２</t>
    <rPh sb="0" eb="1">
      <t>キ</t>
    </rPh>
    <phoneticPr fontId="3"/>
  </si>
  <si>
    <t>黄１３</t>
    <rPh sb="0" eb="1">
      <t>キ</t>
    </rPh>
    <phoneticPr fontId="3"/>
  </si>
  <si>
    <t>清心</t>
    <phoneticPr fontId="3"/>
  </si>
  <si>
    <t>F</t>
    <phoneticPr fontId="3"/>
  </si>
  <si>
    <t>比婆山</t>
    <rPh sb="0" eb="3">
      <t>ヒバヤマ</t>
    </rPh>
    <phoneticPr fontId="3"/>
  </si>
  <si>
    <t>記録１</t>
    <rPh sb="0" eb="2">
      <t>キロク</t>
    </rPh>
    <phoneticPr fontId="3"/>
  </si>
  <si>
    <t>記録２</t>
    <rPh sb="0" eb="2">
      <t>キロク</t>
    </rPh>
    <phoneticPr fontId="3"/>
  </si>
  <si>
    <t>重量不足0.2kg-0.2点</t>
    <rPh sb="0" eb="2">
      <t>ジュウリョウ</t>
    </rPh>
    <rPh sb="2" eb="4">
      <t>ブソク</t>
    </rPh>
    <rPh sb="13" eb="14">
      <t>テン</t>
    </rPh>
    <phoneticPr fontId="12"/>
  </si>
  <si>
    <t>規定重量１</t>
    <rPh sb="0" eb="2">
      <t>キテイ</t>
    </rPh>
    <rPh sb="2" eb="4">
      <t>ジュウリョウ</t>
    </rPh>
    <phoneticPr fontId="3"/>
  </si>
  <si>
    <t>計量１</t>
    <rPh sb="0" eb="2">
      <t>ケイリョウ</t>
    </rPh>
    <phoneticPr fontId="3"/>
  </si>
  <si>
    <t>計量２</t>
    <rPh sb="0" eb="2">
      <t>ケイリョウ</t>
    </rPh>
    <phoneticPr fontId="3"/>
  </si>
  <si>
    <t>規定重量減点１</t>
    <rPh sb="0" eb="2">
      <t>キテイ</t>
    </rPh>
    <rPh sb="2" eb="4">
      <t>ジュウリョウ</t>
    </rPh>
    <rPh sb="4" eb="6">
      <t>ゲンテン</t>
    </rPh>
    <phoneticPr fontId="3"/>
  </si>
  <si>
    <t>規定重量２</t>
    <rPh sb="0" eb="2">
      <t>キテイ</t>
    </rPh>
    <rPh sb="2" eb="4">
      <t>ジュウリョウ</t>
    </rPh>
    <phoneticPr fontId="3"/>
  </si>
  <si>
    <t>規定重量減点２</t>
    <rPh sb="0" eb="2">
      <t>キテイ</t>
    </rPh>
    <rPh sb="2" eb="4">
      <t>ジュウリョウ</t>
    </rPh>
    <rPh sb="4" eb="6">
      <t>ゲンテン</t>
    </rPh>
    <phoneticPr fontId="3"/>
  </si>
  <si>
    <t>規定重量による減点スキームを追加(2012.6.3)</t>
    <rPh sb="0" eb="2">
      <t>キテイ</t>
    </rPh>
    <rPh sb="2" eb="4">
      <t>ジュウリョウ</t>
    </rPh>
    <rPh sb="7" eb="9">
      <t>ゲンテン</t>
    </rPh>
    <rPh sb="14" eb="16">
      <t>ツイカ</t>
    </rPh>
    <phoneticPr fontId="3"/>
  </si>
  <si>
    <t>黄２</t>
    <rPh sb="0" eb="1">
      <t>キ</t>
    </rPh>
    <phoneticPr fontId="3"/>
  </si>
  <si>
    <t>黄３</t>
    <rPh sb="0" eb="1">
      <t>キ</t>
    </rPh>
    <phoneticPr fontId="3"/>
  </si>
  <si>
    <t>黄４</t>
    <rPh sb="0" eb="1">
      <t>キ</t>
    </rPh>
    <phoneticPr fontId="3"/>
  </si>
  <si>
    <t>黄５</t>
    <rPh sb="0" eb="1">
      <t>キ</t>
    </rPh>
    <phoneticPr fontId="3"/>
  </si>
  <si>
    <t>黄６</t>
    <rPh sb="0" eb="1">
      <t>キ</t>
    </rPh>
    <phoneticPr fontId="3"/>
  </si>
  <si>
    <t>黄７</t>
    <rPh sb="0" eb="1">
      <t>キ</t>
    </rPh>
    <phoneticPr fontId="3"/>
  </si>
  <si>
    <t>緑１</t>
    <rPh sb="0" eb="1">
      <t>ミドリ</t>
    </rPh>
    <phoneticPr fontId="3"/>
  </si>
  <si>
    <t>緑２</t>
    <rPh sb="0" eb="1">
      <t>ミドリ</t>
    </rPh>
    <phoneticPr fontId="3"/>
  </si>
  <si>
    <t>緑３</t>
    <rPh sb="0" eb="1">
      <t>ミドリ</t>
    </rPh>
    <phoneticPr fontId="3"/>
  </si>
  <si>
    <t>緑４</t>
    <rPh sb="0" eb="1">
      <t>ミドリ</t>
    </rPh>
    <phoneticPr fontId="3"/>
  </si>
  <si>
    <t>緑５</t>
    <rPh sb="0" eb="1">
      <t>ミドリ</t>
    </rPh>
    <phoneticPr fontId="3"/>
  </si>
  <si>
    <t>緑６</t>
    <rPh sb="0" eb="1">
      <t>ミドリ</t>
    </rPh>
    <phoneticPr fontId="3"/>
  </si>
  <si>
    <t>緑７</t>
    <rPh sb="0" eb="1">
      <t>ミドリ</t>
    </rPh>
    <phoneticPr fontId="3"/>
  </si>
  <si>
    <t>緑８</t>
    <rPh sb="0" eb="1">
      <t>ミドリ</t>
    </rPh>
    <phoneticPr fontId="3"/>
  </si>
  <si>
    <t>緑９</t>
    <rPh sb="0" eb="1">
      <t>ミドリ</t>
    </rPh>
    <phoneticPr fontId="3"/>
  </si>
  <si>
    <t>緑１０</t>
    <rPh sb="0" eb="1">
      <t>ミドリ</t>
    </rPh>
    <phoneticPr fontId="3"/>
  </si>
  <si>
    <t>緑１１</t>
    <rPh sb="0" eb="1">
      <t>ミドリ</t>
    </rPh>
    <phoneticPr fontId="3"/>
  </si>
  <si>
    <t>緑１２</t>
    <rPh sb="0" eb="1">
      <t>ミドリ</t>
    </rPh>
    <phoneticPr fontId="3"/>
  </si>
  <si>
    <t>緑１３</t>
    <rPh sb="0" eb="1">
      <t>ミドリ</t>
    </rPh>
    <phoneticPr fontId="3"/>
  </si>
  <si>
    <t>緑１４</t>
    <rPh sb="0" eb="1">
      <t>ミドリ</t>
    </rPh>
    <phoneticPr fontId="3"/>
  </si>
  <si>
    <t>緑１５</t>
    <rPh sb="0" eb="1">
      <t>ミドリ</t>
    </rPh>
    <phoneticPr fontId="3"/>
  </si>
  <si>
    <t>基町B1</t>
    <rPh sb="0" eb="2">
      <t>モトマチ</t>
    </rPh>
    <phoneticPr fontId="3"/>
  </si>
  <si>
    <t>高陽B1</t>
    <rPh sb="0" eb="1">
      <t>コウ</t>
    </rPh>
    <rPh sb="1" eb="2">
      <t>ヨウ</t>
    </rPh>
    <phoneticPr fontId="3"/>
  </si>
  <si>
    <t>呉三津田B1</t>
    <rPh sb="0" eb="1">
      <t>クレ</t>
    </rPh>
    <rPh sb="1" eb="4">
      <t>ミツダ</t>
    </rPh>
    <phoneticPr fontId="3"/>
  </si>
  <si>
    <t>高陽B2</t>
    <phoneticPr fontId="3"/>
  </si>
  <si>
    <t>基町B2</t>
    <rPh sb="0" eb="2">
      <t>モトマチ</t>
    </rPh>
    <phoneticPr fontId="3"/>
  </si>
  <si>
    <t>高陽B3</t>
    <rPh sb="0" eb="1">
      <t>コウ</t>
    </rPh>
    <rPh sb="1" eb="2">
      <t>ヨウ</t>
    </rPh>
    <phoneticPr fontId="3"/>
  </si>
  <si>
    <t>呉三津田B2</t>
    <rPh sb="0" eb="1">
      <t>クレ</t>
    </rPh>
    <rPh sb="1" eb="3">
      <t>ミツ</t>
    </rPh>
    <rPh sb="3" eb="4">
      <t>ダ</t>
    </rPh>
    <phoneticPr fontId="3"/>
  </si>
  <si>
    <t>安古市</t>
    <rPh sb="0" eb="1">
      <t>ヤス</t>
    </rPh>
    <rPh sb="1" eb="3">
      <t>フルイチ</t>
    </rPh>
    <phoneticPr fontId="12"/>
  </si>
  <si>
    <t>F</t>
    <phoneticPr fontId="3"/>
  </si>
  <si>
    <t>賀茂</t>
    <phoneticPr fontId="3"/>
  </si>
  <si>
    <t>ノートルダム清心</t>
    <phoneticPr fontId="3"/>
  </si>
  <si>
    <t>中野冠山</t>
    <rPh sb="0" eb="2">
      <t>ナカノ</t>
    </rPh>
    <rPh sb="2" eb="4">
      <t>カンムリヤマ</t>
    </rPh>
    <phoneticPr fontId="3"/>
  </si>
  <si>
    <t>ビブス</t>
    <phoneticPr fontId="3"/>
  </si>
  <si>
    <t>最高点</t>
    <rPh sb="0" eb="3">
      <t>サイコウテン</t>
    </rPh>
    <phoneticPr fontId="3"/>
  </si>
  <si>
    <t>最低点</t>
    <rPh sb="0" eb="2">
      <t>サイテイ</t>
    </rPh>
    <rPh sb="2" eb="3">
      <t>テン</t>
    </rPh>
    <phoneticPr fontId="3"/>
  </si>
  <si>
    <t>平均</t>
    <rPh sb="0" eb="2">
      <t>ヘイキン</t>
    </rPh>
    <phoneticPr fontId="3"/>
  </si>
  <si>
    <t>平均得点率</t>
    <rPh sb="0" eb="2">
      <t>ヘイキン</t>
    </rPh>
    <rPh sb="2" eb="4">
      <t>トクテン</t>
    </rPh>
    <rPh sb="4" eb="5">
      <t>リツ</t>
    </rPh>
    <phoneticPr fontId="3"/>
  </si>
  <si>
    <t>審査結果をこれからの登山に活かしてください</t>
    <rPh sb="0" eb="2">
      <t>シンサ</t>
    </rPh>
    <rPh sb="2" eb="4">
      <t>ケッカ</t>
    </rPh>
    <rPh sb="10" eb="12">
      <t>トザン</t>
    </rPh>
    <rPh sb="13" eb="14">
      <t>イ</t>
    </rPh>
    <phoneticPr fontId="3"/>
  </si>
  <si>
    <t>米田山竜王山</t>
    <rPh sb="0" eb="2">
      <t>ヨネダ</t>
    </rPh>
    <rPh sb="2" eb="3">
      <t>ヤマ</t>
    </rPh>
    <rPh sb="3" eb="4">
      <t>リュウ</t>
    </rPh>
    <rPh sb="4" eb="5">
      <t>オウ</t>
    </rPh>
    <rPh sb="5" eb="6">
      <t>ザン</t>
    </rPh>
    <phoneticPr fontId="3"/>
  </si>
  <si>
    <t>賀茂</t>
    <phoneticPr fontId="3"/>
  </si>
  <si>
    <t>呉三津田</t>
    <rPh sb="0" eb="1">
      <t>クレ</t>
    </rPh>
    <rPh sb="1" eb="3">
      <t>ミツ</t>
    </rPh>
    <rPh sb="3" eb="4">
      <t>ダ</t>
    </rPh>
    <phoneticPr fontId="3"/>
  </si>
  <si>
    <t>広島観音</t>
    <rPh sb="0" eb="2">
      <t>ヒロシマ</t>
    </rPh>
    <rPh sb="2" eb="3">
      <t>カン</t>
    </rPh>
    <rPh sb="3" eb="4">
      <t>オン</t>
    </rPh>
    <phoneticPr fontId="3"/>
  </si>
  <si>
    <t>高陽</t>
    <phoneticPr fontId="3"/>
  </si>
  <si>
    <t>黄８</t>
    <rPh sb="0" eb="1">
      <t>キ</t>
    </rPh>
    <phoneticPr fontId="3"/>
  </si>
  <si>
    <t>黄９</t>
    <rPh sb="0" eb="1">
      <t>キ</t>
    </rPh>
    <phoneticPr fontId="3"/>
  </si>
  <si>
    <t>黄１０</t>
    <rPh sb="0" eb="1">
      <t>キ</t>
    </rPh>
    <phoneticPr fontId="3"/>
  </si>
  <si>
    <t>基町Ｂ1</t>
    <rPh sb="0" eb="2">
      <t>モトマチ</t>
    </rPh>
    <phoneticPr fontId="3"/>
  </si>
  <si>
    <t>修道Ｂ2</t>
    <rPh sb="0" eb="2">
      <t>シュウドウ</t>
    </rPh>
    <phoneticPr fontId="3"/>
  </si>
  <si>
    <t>高陽Ｂ1</t>
    <rPh sb="0" eb="1">
      <t>コウ</t>
    </rPh>
    <rPh sb="1" eb="2">
      <t>ヨウ</t>
    </rPh>
    <phoneticPr fontId="3"/>
  </si>
  <si>
    <t>広島学院Ｂ2</t>
    <rPh sb="0" eb="2">
      <t>ヒロシマ</t>
    </rPh>
    <rPh sb="2" eb="4">
      <t>ガクイン</t>
    </rPh>
    <phoneticPr fontId="3"/>
  </si>
  <si>
    <t>広島学院Ｂ1</t>
    <rPh sb="0" eb="2">
      <t>ヒロシマ</t>
    </rPh>
    <rPh sb="2" eb="4">
      <t>ガクイン</t>
    </rPh>
    <phoneticPr fontId="3"/>
  </si>
  <si>
    <t>呉三津田B1</t>
    <rPh sb="0" eb="1">
      <t>クレ</t>
    </rPh>
    <rPh sb="1" eb="3">
      <t>ミツ</t>
    </rPh>
    <rPh sb="3" eb="4">
      <t>ダ</t>
    </rPh>
    <phoneticPr fontId="3"/>
  </si>
  <si>
    <t>高陽Ｂ2</t>
    <phoneticPr fontId="3"/>
  </si>
  <si>
    <t>基町Ｂ2</t>
    <rPh sb="0" eb="2">
      <t>モトマチ</t>
    </rPh>
    <phoneticPr fontId="3"/>
  </si>
  <si>
    <t>広島学院Ｂ3</t>
    <rPh sb="0" eb="2">
      <t>ヒロシマ</t>
    </rPh>
    <rPh sb="2" eb="4">
      <t>ガクイン</t>
    </rPh>
    <phoneticPr fontId="3"/>
  </si>
  <si>
    <t>高陽Ｂ3</t>
    <phoneticPr fontId="3"/>
  </si>
  <si>
    <t>基町Ｂ3</t>
    <rPh sb="0" eb="2">
      <t>モトマチ</t>
    </rPh>
    <phoneticPr fontId="3"/>
  </si>
  <si>
    <t>広島学院Ｂ4</t>
    <rPh sb="0" eb="2">
      <t>ヒロシマ</t>
    </rPh>
    <rPh sb="2" eb="4">
      <t>ガクイン</t>
    </rPh>
    <phoneticPr fontId="3"/>
  </si>
  <si>
    <t>修道Ｂ3</t>
    <rPh sb="0" eb="2">
      <t>シュウドウ</t>
    </rPh>
    <phoneticPr fontId="12"/>
  </si>
  <si>
    <t>高陽Ｂ4</t>
    <rPh sb="0" eb="1">
      <t>コウ</t>
    </rPh>
    <rPh sb="1" eb="2">
      <t>ヨウ</t>
    </rPh>
    <phoneticPr fontId="3"/>
  </si>
  <si>
    <t>広島学院Ｂ5</t>
    <rPh sb="0" eb="2">
      <t>ヒロシマ</t>
    </rPh>
    <rPh sb="2" eb="4">
      <t>ガクイン</t>
    </rPh>
    <phoneticPr fontId="3"/>
  </si>
  <si>
    <t>緑１６</t>
    <rPh sb="0" eb="1">
      <t>ミドリ</t>
    </rPh>
    <phoneticPr fontId="3"/>
  </si>
  <si>
    <t>緑１７</t>
    <rPh sb="0" eb="1">
      <t>ミドリ</t>
    </rPh>
    <phoneticPr fontId="3"/>
  </si>
  <si>
    <t>緑１８</t>
    <rPh sb="0" eb="1">
      <t>ミドリ</t>
    </rPh>
    <phoneticPr fontId="3"/>
  </si>
  <si>
    <t>Ｄ</t>
    <phoneticPr fontId="3"/>
  </si>
  <si>
    <t>Ｅ</t>
    <phoneticPr fontId="3"/>
  </si>
  <si>
    <t>基町Ｅ1</t>
    <rPh sb="0" eb="2">
      <t>モトマチ</t>
    </rPh>
    <phoneticPr fontId="3"/>
  </si>
  <si>
    <t>ノートルダム清心</t>
    <rPh sb="6" eb="8">
      <t>セイシン</t>
    </rPh>
    <phoneticPr fontId="3"/>
  </si>
  <si>
    <t>基町Ｅ2</t>
    <rPh sb="0" eb="2">
      <t>モトマチ</t>
    </rPh>
    <phoneticPr fontId="3"/>
  </si>
  <si>
    <t>修道Ｂ1</t>
    <rPh sb="0" eb="2">
      <t>シュウドウ</t>
    </rPh>
    <phoneticPr fontId="3"/>
  </si>
  <si>
    <t>参考52.3点</t>
    <rPh sb="0" eb="2">
      <t>サンコウ</t>
    </rPh>
    <rPh sb="6" eb="7">
      <t>テン</t>
    </rPh>
    <phoneticPr fontId="3"/>
  </si>
  <si>
    <t>ビブス</t>
  </si>
  <si>
    <t>A</t>
  </si>
  <si>
    <t>B</t>
  </si>
  <si>
    <t>高陽Ｂ2</t>
  </si>
  <si>
    <t>Ｄ</t>
  </si>
  <si>
    <t>Ｅ</t>
  </si>
  <si>
    <t>B</t>
    <phoneticPr fontId="3"/>
  </si>
  <si>
    <t>五日市B1</t>
    <rPh sb="0" eb="3">
      <t>イツカイチ</t>
    </rPh>
    <phoneticPr fontId="3"/>
  </si>
  <si>
    <t>安古市B1</t>
    <rPh sb="0" eb="1">
      <t>ヤス</t>
    </rPh>
    <rPh sb="1" eb="3">
      <t>フルイチ</t>
    </rPh>
    <phoneticPr fontId="3"/>
  </si>
  <si>
    <t>緑１９</t>
    <rPh sb="0" eb="1">
      <t>ミドリ</t>
    </rPh>
    <phoneticPr fontId="3"/>
  </si>
  <si>
    <t>五日市B2</t>
    <rPh sb="0" eb="3">
      <t>イツカイチ</t>
    </rPh>
    <phoneticPr fontId="3"/>
  </si>
  <si>
    <t>修道Ｂ4</t>
    <rPh sb="0" eb="2">
      <t>シュウドウ</t>
    </rPh>
    <phoneticPr fontId="12"/>
  </si>
  <si>
    <t>賀茂B1</t>
    <rPh sb="0" eb="2">
      <t>カモ</t>
    </rPh>
    <phoneticPr fontId="3"/>
  </si>
  <si>
    <t>自然観察</t>
    <rPh sb="0" eb="2">
      <t>シゼン</t>
    </rPh>
    <rPh sb="2" eb="4">
      <t>カンサツ</t>
    </rPh>
    <phoneticPr fontId="3"/>
  </si>
  <si>
    <t>救急知識</t>
    <rPh sb="0" eb="2">
      <t>キュウキュウ</t>
    </rPh>
    <rPh sb="2" eb="4">
      <t>チシキ</t>
    </rPh>
    <phoneticPr fontId="3"/>
  </si>
  <si>
    <t>参考点</t>
    <rPh sb="0" eb="2">
      <t>サンコウ</t>
    </rPh>
    <rPh sb="2" eb="3">
      <t>テン</t>
    </rPh>
    <phoneticPr fontId="3"/>
  </si>
  <si>
    <t>基町B4</t>
    <rPh sb="0" eb="2">
      <t>モトマチ</t>
    </rPh>
    <phoneticPr fontId="3"/>
  </si>
  <si>
    <t>修道B5</t>
    <rPh sb="0" eb="2">
      <t>シュウドウ</t>
    </rPh>
    <phoneticPr fontId="3"/>
  </si>
  <si>
    <t>基町E1</t>
    <rPh sb="0" eb="2">
      <t>モトマチ</t>
    </rPh>
    <phoneticPr fontId="3"/>
  </si>
  <si>
    <t>基町E2</t>
    <rPh sb="0" eb="2">
      <t>モトマチ</t>
    </rPh>
    <phoneticPr fontId="3"/>
  </si>
  <si>
    <t>基町E3</t>
    <rPh sb="0" eb="2">
      <t>モトマチ</t>
    </rPh>
    <phoneticPr fontId="3"/>
  </si>
  <si>
    <t>基町E4</t>
    <rPh sb="0" eb="2">
      <t>モトマチ</t>
    </rPh>
    <phoneticPr fontId="3"/>
  </si>
  <si>
    <t>青５</t>
    <rPh sb="0" eb="1">
      <t>アオ</t>
    </rPh>
    <phoneticPr fontId="3"/>
  </si>
  <si>
    <t>青６</t>
    <rPh sb="0" eb="1">
      <t>アオ</t>
    </rPh>
    <phoneticPr fontId="3"/>
  </si>
  <si>
    <t>青７</t>
    <rPh sb="0" eb="1">
      <t>アオ</t>
    </rPh>
    <phoneticPr fontId="3"/>
  </si>
  <si>
    <t>天気図</t>
    <rPh sb="0" eb="3">
      <t>テンキズ</t>
    </rPh>
    <phoneticPr fontId="3"/>
  </si>
  <si>
    <t>行動記録</t>
    <rPh sb="0" eb="2">
      <t>コウドウ</t>
    </rPh>
    <phoneticPr fontId="3"/>
  </si>
  <si>
    <t>読図技術</t>
    <rPh sb="2" eb="4">
      <t>ギジュツ</t>
    </rPh>
    <phoneticPr fontId="3"/>
  </si>
  <si>
    <t>設営撤収</t>
    <rPh sb="2" eb="4">
      <t>テッシュウ</t>
    </rPh>
    <phoneticPr fontId="3"/>
  </si>
  <si>
    <t>今回から新基準での審査でした。結果はどうでしたか？審査結果をこれからの登山に活かしてください。</t>
    <rPh sb="0" eb="2">
      <t>コンカイ</t>
    </rPh>
    <rPh sb="4" eb="7">
      <t>シンキジュン</t>
    </rPh>
    <rPh sb="9" eb="11">
      <t>シンサ</t>
    </rPh>
    <rPh sb="15" eb="17">
      <t>ケッカ</t>
    </rPh>
    <rPh sb="25" eb="27">
      <t>シンサ</t>
    </rPh>
    <rPh sb="27" eb="29">
      <t>ケッカ</t>
    </rPh>
    <rPh sb="35" eb="37">
      <t>トザン</t>
    </rPh>
    <rPh sb="38" eb="39">
      <t>イ</t>
    </rPh>
    <phoneticPr fontId="3"/>
  </si>
  <si>
    <t>参考点87.6</t>
    <rPh sb="0" eb="2">
      <t>サンコウ</t>
    </rPh>
    <rPh sb="2" eb="3">
      <t>テン</t>
    </rPh>
    <phoneticPr fontId="3"/>
  </si>
  <si>
    <t>参考点76.2</t>
    <rPh sb="0" eb="2">
      <t>サンコウ</t>
    </rPh>
    <rPh sb="2" eb="3">
      <t>テン</t>
    </rPh>
    <phoneticPr fontId="3"/>
  </si>
  <si>
    <t>参考点80.7</t>
    <rPh sb="0" eb="2">
      <t>サンコウ</t>
    </rPh>
    <rPh sb="2" eb="3">
      <t>テン</t>
    </rPh>
    <phoneticPr fontId="3"/>
  </si>
</sst>
</file>

<file path=xl/styles.xml><?xml version="1.0" encoding="utf-8"?>
<styleSheet xmlns="http://schemas.openxmlformats.org/spreadsheetml/2006/main">
  <numFmts count="4">
    <numFmt numFmtId="176" formatCode="0.0"/>
    <numFmt numFmtId="177" formatCode="0.0_ "/>
    <numFmt numFmtId="178" formatCode="0.00_ "/>
    <numFmt numFmtId="179" formatCode="0.0%"/>
  </numFmts>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5"/>
      <name val="ＭＳ 明朝"/>
      <family val="1"/>
      <charset val="128"/>
    </font>
    <font>
      <sz val="10.5"/>
      <color indexed="8"/>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12"/>
      <name val="ＭＳ Ｐゴシック"/>
      <family val="3"/>
      <charset val="128"/>
    </font>
    <font>
      <sz val="10.5"/>
      <name val="Century"/>
      <family val="1"/>
    </font>
    <font>
      <sz val="6"/>
      <name val="ＭＳ Ｐゴシック"/>
      <family val="3"/>
      <charset val="128"/>
    </font>
    <font>
      <sz val="11"/>
      <color rgb="FFFF0000"/>
      <name val="ＭＳ Ｐゴシック"/>
      <family val="3"/>
      <charset val="128"/>
    </font>
    <font>
      <b/>
      <sz val="11"/>
      <color rgb="FFFF000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2" fillId="0" borderId="0" applyFont="0" applyFill="0" applyBorder="0" applyAlignment="0" applyProtection="0"/>
  </cellStyleXfs>
  <cellXfs count="297">
    <xf numFmtId="0" fontId="0" fillId="0" borderId="0" xfId="0"/>
    <xf numFmtId="0" fontId="4" fillId="0" borderId="1" xfId="0" applyFont="1" applyBorder="1" applyAlignment="1">
      <alignment horizontal="left" shrinkToFit="1"/>
    </xf>
    <xf numFmtId="21" fontId="4" fillId="2" borderId="1" xfId="0" applyNumberFormat="1" applyFont="1" applyFill="1" applyBorder="1" applyAlignment="1">
      <alignment horizontal="left" shrinkToFit="1"/>
    </xf>
    <xf numFmtId="21" fontId="4" fillId="3" borderId="1" xfId="0" applyNumberFormat="1" applyFont="1" applyFill="1" applyBorder="1" applyAlignment="1">
      <alignment horizontal="left" shrinkToFit="1"/>
    </xf>
    <xf numFmtId="0" fontId="4" fillId="3" borderId="1" xfId="0" applyNumberFormat="1" applyFont="1" applyFill="1" applyBorder="1" applyAlignment="1">
      <alignment horizontal="left" shrinkToFit="1"/>
    </xf>
    <xf numFmtId="0" fontId="4" fillId="3" borderId="1" xfId="0" applyFont="1" applyFill="1" applyBorder="1" applyAlignment="1">
      <alignment horizontal="left" shrinkToFit="1"/>
    </xf>
    <xf numFmtId="0" fontId="4" fillId="0" borderId="0" xfId="0" applyFont="1" applyBorder="1" applyAlignment="1">
      <alignment horizontal="left" shrinkToFit="1"/>
    </xf>
    <xf numFmtId="0" fontId="4" fillId="0" borderId="1" xfId="0" applyFont="1" applyBorder="1"/>
    <xf numFmtId="0" fontId="4" fillId="0" borderId="1" xfId="0" applyFont="1" applyBorder="1" applyAlignment="1">
      <alignment horizontal="left"/>
    </xf>
    <xf numFmtId="21" fontId="4" fillId="2" borderId="1" xfId="0" applyNumberFormat="1" applyFont="1" applyFill="1" applyBorder="1" applyAlignment="1">
      <alignment horizontal="left"/>
    </xf>
    <xf numFmtId="21" fontId="4" fillId="3" borderId="1" xfId="0" applyNumberFormat="1" applyFont="1" applyFill="1" applyBorder="1" applyAlignment="1">
      <alignment horizontal="left"/>
    </xf>
    <xf numFmtId="21" fontId="4" fillId="3" borderId="1" xfId="0" applyNumberFormat="1" applyFont="1" applyFill="1" applyBorder="1"/>
    <xf numFmtId="176" fontId="4" fillId="3" borderId="1" xfId="0" applyNumberFormat="1" applyFont="1" applyFill="1" applyBorder="1"/>
    <xf numFmtId="0" fontId="4" fillId="0" borderId="0" xfId="0" applyFont="1" applyBorder="1"/>
    <xf numFmtId="0" fontId="0" fillId="0" borderId="1" xfId="0" applyBorder="1"/>
    <xf numFmtId="0" fontId="5" fillId="0" borderId="1" xfId="0" applyFont="1" applyBorder="1" applyAlignment="1">
      <alignment horizontal="left" wrapText="1"/>
    </xf>
    <xf numFmtId="21" fontId="0" fillId="2" borderId="1" xfId="0" applyNumberFormat="1" applyFill="1" applyBorder="1" applyAlignment="1">
      <alignment horizontal="left"/>
    </xf>
    <xf numFmtId="21" fontId="0" fillId="3" borderId="1" xfId="0" applyNumberFormat="1" applyFill="1" applyBorder="1" applyAlignment="1">
      <alignment horizontal="left"/>
    </xf>
    <xf numFmtId="21" fontId="0" fillId="3" borderId="1" xfId="0" applyNumberFormat="1" applyFill="1" applyBorder="1"/>
    <xf numFmtId="176" fontId="0" fillId="3" borderId="1" xfId="0" applyNumberFormat="1" applyFill="1" applyBorder="1"/>
    <xf numFmtId="0" fontId="6" fillId="0" borderId="1" xfId="0" applyFont="1" applyBorder="1" applyAlignment="1">
      <alignment horizontal="left" vertical="top" wrapText="1"/>
    </xf>
    <xf numFmtId="0" fontId="6" fillId="0" borderId="1" xfId="0" applyFont="1" applyBorder="1" applyAlignment="1">
      <alignment horizontal="left" wrapText="1"/>
    </xf>
    <xf numFmtId="0" fontId="0" fillId="0" borderId="0" xfId="0" applyBorder="1"/>
    <xf numFmtId="0" fontId="0" fillId="0" borderId="0" xfId="0" applyBorder="1" applyAlignment="1">
      <alignment horizontal="left"/>
    </xf>
    <xf numFmtId="21" fontId="0" fillId="2" borderId="0" xfId="0" applyNumberFormat="1" applyFill="1" applyBorder="1" applyAlignment="1">
      <alignment horizontal="left"/>
    </xf>
    <xf numFmtId="21" fontId="0" fillId="3" borderId="0" xfId="0" applyNumberFormat="1" applyFill="1" applyBorder="1" applyAlignment="1">
      <alignment horizontal="left"/>
    </xf>
    <xf numFmtId="21" fontId="0" fillId="2" borderId="2" xfId="0" applyNumberFormat="1" applyFill="1" applyBorder="1" applyAlignment="1">
      <alignment horizontal="left"/>
    </xf>
    <xf numFmtId="21" fontId="0" fillId="3" borderId="0" xfId="0" applyNumberFormat="1" applyFill="1"/>
    <xf numFmtId="176" fontId="0" fillId="3" borderId="3" xfId="0" applyNumberFormat="1" applyFill="1" applyBorder="1"/>
    <xf numFmtId="176" fontId="0" fillId="3" borderId="0" xfId="0" applyNumberFormat="1" applyFill="1"/>
    <xf numFmtId="0" fontId="0" fillId="3" borderId="3" xfId="0" applyNumberFormat="1" applyFill="1" applyBorder="1"/>
    <xf numFmtId="0" fontId="0" fillId="3" borderId="0" xfId="0" applyFill="1"/>
    <xf numFmtId="0" fontId="4" fillId="3" borderId="1" xfId="0" applyFont="1" applyFill="1" applyBorder="1"/>
    <xf numFmtId="0" fontId="0" fillId="3" borderId="1" xfId="0" applyFill="1" applyBorder="1"/>
    <xf numFmtId="0" fontId="2" fillId="2" borderId="1" xfId="0" applyFont="1" applyFill="1" applyBorder="1" applyAlignment="1">
      <alignment horizontal="left" shrinkToFit="1"/>
    </xf>
    <xf numFmtId="0" fontId="4" fillId="2" borderId="1" xfId="0" applyFont="1" applyFill="1" applyBorder="1" applyAlignment="1">
      <alignment horizontal="left" shrinkToFit="1"/>
    </xf>
    <xf numFmtId="176" fontId="4" fillId="2" borderId="1" xfId="0" applyNumberFormat="1" applyFont="1" applyFill="1" applyBorder="1"/>
    <xf numFmtId="176" fontId="0" fillId="2" borderId="1" xfId="0" applyNumberFormat="1" applyFill="1" applyBorder="1"/>
    <xf numFmtId="176" fontId="0" fillId="2" borderId="0" xfId="0" applyNumberFormat="1" applyFill="1"/>
    <xf numFmtId="0" fontId="0" fillId="2" borderId="0" xfId="0" applyFill="1"/>
    <xf numFmtId="177" fontId="4" fillId="0" borderId="0" xfId="0" applyNumberFormat="1" applyFont="1" applyBorder="1" applyAlignment="1">
      <alignment horizontal="left" shrinkToFit="1"/>
    </xf>
    <xf numFmtId="177" fontId="4" fillId="0" borderId="0" xfId="0" applyNumberFormat="1" applyFont="1" applyBorder="1"/>
    <xf numFmtId="177" fontId="4" fillId="0" borderId="0" xfId="0" quotePrefix="1" applyNumberFormat="1" applyFont="1" applyBorder="1"/>
    <xf numFmtId="177" fontId="0" fillId="0" borderId="0" xfId="0" applyNumberFormat="1"/>
    <xf numFmtId="0" fontId="0" fillId="0" borderId="4" xfId="0" applyBorder="1"/>
    <xf numFmtId="0" fontId="5" fillId="0" borderId="4" xfId="0" applyFont="1" applyBorder="1" applyAlignment="1">
      <alignment horizontal="left" wrapText="1"/>
    </xf>
    <xf numFmtId="21" fontId="0" fillId="2" borderId="4" xfId="0" applyNumberFormat="1" applyFill="1" applyBorder="1" applyAlignment="1">
      <alignment horizontal="left"/>
    </xf>
    <xf numFmtId="21" fontId="0" fillId="3" borderId="4" xfId="0" applyNumberFormat="1" applyFill="1" applyBorder="1" applyAlignment="1">
      <alignment horizontal="left"/>
    </xf>
    <xf numFmtId="21" fontId="0" fillId="3" borderId="4" xfId="0" applyNumberFormat="1" applyFill="1" applyBorder="1"/>
    <xf numFmtId="176" fontId="0" fillId="3" borderId="4" xfId="0" applyNumberFormat="1" applyFill="1" applyBorder="1"/>
    <xf numFmtId="176" fontId="0" fillId="2" borderId="4" xfId="0" applyNumberFormat="1" applyFill="1" applyBorder="1"/>
    <xf numFmtId="0" fontId="0" fillId="3" borderId="4" xfId="0" applyFill="1" applyBorder="1"/>
    <xf numFmtId="0" fontId="0" fillId="0" borderId="5" xfId="0" applyBorder="1"/>
    <xf numFmtId="0" fontId="5" fillId="0" borderId="5" xfId="0" applyFont="1" applyBorder="1" applyAlignment="1">
      <alignment horizontal="left" wrapText="1"/>
    </xf>
    <xf numFmtId="21" fontId="0" fillId="2" borderId="5" xfId="0" applyNumberFormat="1" applyFill="1" applyBorder="1" applyAlignment="1">
      <alignment horizontal="left"/>
    </xf>
    <xf numFmtId="21" fontId="0" fillId="3" borderId="5" xfId="0" applyNumberFormat="1" applyFill="1" applyBorder="1" applyAlignment="1">
      <alignment horizontal="left"/>
    </xf>
    <xf numFmtId="21" fontId="0" fillId="3" borderId="5" xfId="0" applyNumberFormat="1" applyFill="1" applyBorder="1"/>
    <xf numFmtId="176" fontId="0" fillId="3" borderId="5" xfId="0" applyNumberFormat="1" applyFill="1" applyBorder="1"/>
    <xf numFmtId="176" fontId="0" fillId="2" borderId="5" xfId="0" applyNumberFormat="1" applyFill="1" applyBorder="1"/>
    <xf numFmtId="0" fontId="0" fillId="3" borderId="5" xfId="0" applyFill="1" applyBorder="1"/>
    <xf numFmtId="0" fontId="0" fillId="0" borderId="6" xfId="0" applyBorder="1"/>
    <xf numFmtId="177" fontId="0" fillId="0" borderId="6" xfId="0" applyNumberFormat="1" applyBorder="1"/>
    <xf numFmtId="0" fontId="0" fillId="0" borderId="7" xfId="0" applyBorder="1"/>
    <xf numFmtId="0" fontId="5" fillId="0" borderId="7" xfId="0" applyFont="1" applyBorder="1" applyAlignment="1">
      <alignment horizontal="left" wrapText="1"/>
    </xf>
    <xf numFmtId="21" fontId="0" fillId="2" borderId="7" xfId="0" applyNumberFormat="1" applyFill="1" applyBorder="1" applyAlignment="1">
      <alignment horizontal="left"/>
    </xf>
    <xf numFmtId="21" fontId="0" fillId="3" borderId="7" xfId="0" applyNumberFormat="1" applyFill="1" applyBorder="1" applyAlignment="1">
      <alignment horizontal="left"/>
    </xf>
    <xf numFmtId="21" fontId="0" fillId="3" borderId="7" xfId="0" applyNumberFormat="1" applyFill="1" applyBorder="1"/>
    <xf numFmtId="176" fontId="0" fillId="3" borderId="7" xfId="0" applyNumberFormat="1" applyFill="1" applyBorder="1"/>
    <xf numFmtId="176" fontId="0" fillId="2" borderId="7" xfId="0" applyNumberFormat="1" applyFill="1" applyBorder="1"/>
    <xf numFmtId="0" fontId="0" fillId="0" borderId="8" xfId="0" applyBorder="1"/>
    <xf numFmtId="177" fontId="0" fillId="0" borderId="8" xfId="0" applyNumberFormat="1" applyBorder="1"/>
    <xf numFmtId="0" fontId="4" fillId="3" borderId="1" xfId="0" applyNumberFormat="1" applyFont="1" applyFill="1" applyBorder="1"/>
    <xf numFmtId="0" fontId="0" fillId="3" borderId="1" xfId="0" applyNumberFormat="1" applyFill="1" applyBorder="1"/>
    <xf numFmtId="0" fontId="0" fillId="3" borderId="5" xfId="0" applyNumberFormat="1" applyFill="1" applyBorder="1"/>
    <xf numFmtId="0" fontId="0" fillId="3" borderId="4" xfId="0" applyNumberFormat="1" applyFill="1" applyBorder="1"/>
    <xf numFmtId="0" fontId="0" fillId="3" borderId="7" xfId="0" applyNumberFormat="1" applyFill="1" applyBorder="1"/>
    <xf numFmtId="0" fontId="0" fillId="3" borderId="0" xfId="0" applyNumberFormat="1" applyFill="1"/>
    <xf numFmtId="0" fontId="4" fillId="0" borderId="0" xfId="0" applyNumberFormat="1" applyFont="1" applyBorder="1" applyAlignment="1">
      <alignment horizontal="left" shrinkToFit="1"/>
    </xf>
    <xf numFmtId="0" fontId="0" fillId="0" borderId="0" xfId="0" applyNumberFormat="1"/>
    <xf numFmtId="0" fontId="0" fillId="0" borderId="6" xfId="0" applyNumberFormat="1" applyBorder="1"/>
    <xf numFmtId="0" fontId="0" fillId="0" borderId="8" xfId="0" applyNumberFormat="1" applyBorder="1"/>
    <xf numFmtId="0" fontId="0" fillId="0" borderId="0" xfId="0" applyFill="1" applyBorder="1"/>
    <xf numFmtId="0" fontId="4" fillId="0" borderId="0" xfId="0" quotePrefix="1" applyNumberFormat="1" applyFont="1" applyBorder="1"/>
    <xf numFmtId="176" fontId="0" fillId="3" borderId="1" xfId="0" quotePrefix="1" applyNumberFormat="1" applyFill="1" applyBorder="1" applyAlignment="1">
      <alignment horizontal="right"/>
    </xf>
    <xf numFmtId="177" fontId="0" fillId="2" borderId="0" xfId="0" applyNumberFormat="1" applyFill="1"/>
    <xf numFmtId="177" fontId="4" fillId="2" borderId="1" xfId="0" applyNumberFormat="1" applyFont="1" applyFill="1" applyBorder="1" applyAlignment="1">
      <alignment horizontal="left" shrinkToFit="1"/>
    </xf>
    <xf numFmtId="0" fontId="4" fillId="3" borderId="1" xfId="0" quotePrefix="1" applyNumberFormat="1" applyFont="1" applyFill="1" applyBorder="1"/>
    <xf numFmtId="177" fontId="4" fillId="2" borderId="1" xfId="0" quotePrefix="1" applyNumberFormat="1" applyFont="1" applyFill="1" applyBorder="1"/>
    <xf numFmtId="177" fontId="4" fillId="2" borderId="1" xfId="0" applyNumberFormat="1" applyFont="1" applyFill="1" applyBorder="1"/>
    <xf numFmtId="177" fontId="0" fillId="3" borderId="1" xfId="0" applyNumberFormat="1" applyFill="1" applyBorder="1"/>
    <xf numFmtId="177" fontId="0" fillId="2" borderId="1" xfId="0" applyNumberFormat="1" applyFill="1" applyBorder="1"/>
    <xf numFmtId="0" fontId="0" fillId="3" borderId="9" xfId="0" applyNumberFormat="1" applyFill="1" applyBorder="1"/>
    <xf numFmtId="177" fontId="0" fillId="3" borderId="9" xfId="0" applyNumberFormat="1" applyFill="1" applyBorder="1"/>
    <xf numFmtId="177" fontId="0" fillId="2" borderId="9" xfId="0" applyNumberFormat="1" applyFill="1" applyBorder="1"/>
    <xf numFmtId="177" fontId="0" fillId="3" borderId="4" xfId="0" applyNumberFormat="1" applyFill="1" applyBorder="1"/>
    <xf numFmtId="177" fontId="0" fillId="2" borderId="4" xfId="0" applyNumberFormat="1" applyFill="1" applyBorder="1"/>
    <xf numFmtId="0" fontId="0" fillId="3" borderId="10" xfId="0" applyNumberFormat="1" applyFill="1" applyBorder="1"/>
    <xf numFmtId="177" fontId="0" fillId="3" borderId="10" xfId="0" applyNumberFormat="1" applyFill="1" applyBorder="1"/>
    <xf numFmtId="177" fontId="0" fillId="2" borderId="10" xfId="0" applyNumberFormat="1" applyFill="1" applyBorder="1"/>
    <xf numFmtId="177" fontId="0" fillId="3" borderId="5" xfId="0" applyNumberFormat="1" applyFill="1" applyBorder="1"/>
    <xf numFmtId="177" fontId="0" fillId="2" borderId="5" xfId="0" applyNumberFormat="1" applyFill="1" applyBorder="1"/>
    <xf numFmtId="0" fontId="5" fillId="0" borderId="1" xfId="0" applyFont="1" applyBorder="1" applyAlignment="1">
      <alignment horizontal="left"/>
    </xf>
    <xf numFmtId="0" fontId="6" fillId="0" borderId="1" xfId="0" applyFont="1" applyBorder="1" applyAlignment="1">
      <alignment horizontal="left" vertical="top"/>
    </xf>
    <xf numFmtId="177" fontId="0" fillId="3" borderId="0" xfId="0" applyNumberFormat="1" applyFill="1"/>
    <xf numFmtId="0" fontId="0" fillId="3" borderId="0" xfId="0" applyNumberFormat="1" applyFill="1" applyBorder="1" applyAlignment="1"/>
    <xf numFmtId="21" fontId="9" fillId="3" borderId="0" xfId="0" applyNumberFormat="1" applyFont="1" applyFill="1" applyBorder="1" applyAlignment="1">
      <alignment horizontal="left"/>
    </xf>
    <xf numFmtId="21" fontId="10" fillId="3" borderId="0" xfId="0" applyNumberFormat="1" applyFont="1" applyFill="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6" fillId="0" borderId="5" xfId="0" applyFont="1" applyBorder="1" applyAlignment="1">
      <alignment horizontal="left" vertical="top"/>
    </xf>
    <xf numFmtId="0" fontId="5" fillId="0" borderId="7" xfId="0" applyFont="1" applyBorder="1" applyAlignment="1">
      <alignment horizontal="left"/>
    </xf>
    <xf numFmtId="0" fontId="0" fillId="3" borderId="7" xfId="0" applyFill="1" applyBorder="1"/>
    <xf numFmtId="0" fontId="0" fillId="0" borderId="11" xfId="0" applyBorder="1"/>
    <xf numFmtId="0" fontId="5" fillId="0" borderId="11" xfId="0" applyFont="1" applyBorder="1" applyAlignment="1">
      <alignment horizontal="left"/>
    </xf>
    <xf numFmtId="21" fontId="0" fillId="2" borderId="11" xfId="0" applyNumberFormat="1" applyFill="1" applyBorder="1" applyAlignment="1">
      <alignment horizontal="left"/>
    </xf>
    <xf numFmtId="21" fontId="0" fillId="3" borderId="11" xfId="0" applyNumberFormat="1" applyFill="1" applyBorder="1" applyAlignment="1">
      <alignment horizontal="left"/>
    </xf>
    <xf numFmtId="21" fontId="0" fillId="3" borderId="11" xfId="0" applyNumberFormat="1" applyFill="1" applyBorder="1"/>
    <xf numFmtId="176" fontId="0" fillId="3" borderId="11" xfId="0" applyNumberFormat="1" applyFill="1" applyBorder="1"/>
    <xf numFmtId="176" fontId="0" fillId="2" borderId="11" xfId="0" applyNumberFormat="1" applyFill="1" applyBorder="1"/>
    <xf numFmtId="0" fontId="0" fillId="3" borderId="11" xfId="0" applyFill="1" applyBorder="1"/>
    <xf numFmtId="0" fontId="0" fillId="0" borderId="12" xfId="0" applyBorder="1"/>
    <xf numFmtId="176" fontId="0" fillId="0" borderId="0" xfId="0" applyNumberFormat="1"/>
    <xf numFmtId="178" fontId="0" fillId="0" borderId="0" xfId="0" applyNumberFormat="1" applyBorder="1"/>
    <xf numFmtId="178" fontId="0" fillId="0" borderId="7" xfId="0" applyNumberFormat="1" applyBorder="1"/>
    <xf numFmtId="178" fontId="5" fillId="0" borderId="7" xfId="0" applyNumberFormat="1" applyFont="1" applyBorder="1" applyAlignment="1">
      <alignment horizontal="left"/>
    </xf>
    <xf numFmtId="178" fontId="0" fillId="0" borderId="0" xfId="0" applyNumberFormat="1" applyBorder="1" applyAlignment="1">
      <alignment horizontal="left"/>
    </xf>
    <xf numFmtId="178" fontId="0" fillId="2" borderId="0" xfId="0" applyNumberFormat="1" applyFill="1" applyBorder="1" applyAlignment="1">
      <alignment horizontal="left"/>
    </xf>
    <xf numFmtId="178" fontId="0" fillId="0" borderId="0" xfId="0" applyNumberFormat="1"/>
    <xf numFmtId="0" fontId="2" fillId="0" borderId="1" xfId="0" applyFont="1" applyBorder="1" applyAlignment="1">
      <alignment horizontal="left" shrinkToFit="1"/>
    </xf>
    <xf numFmtId="176" fontId="4" fillId="0" borderId="1" xfId="0" applyNumberFormat="1" applyFont="1" applyBorder="1"/>
    <xf numFmtId="0" fontId="0" fillId="0" borderId="1" xfId="0" applyBorder="1" applyAlignment="1">
      <alignment horizontal="left"/>
    </xf>
    <xf numFmtId="176" fontId="0" fillId="0" borderId="1" xfId="0" applyNumberFormat="1" applyBorder="1"/>
    <xf numFmtId="0" fontId="11" fillId="0" borderId="1" xfId="0" applyFont="1" applyBorder="1" applyAlignment="1">
      <alignment horizontal="left" wrapText="1"/>
    </xf>
    <xf numFmtId="0" fontId="1" fillId="2" borderId="1" xfId="0" applyFont="1" applyFill="1" applyBorder="1" applyAlignment="1">
      <alignment horizontal="left" shrinkToFit="1"/>
    </xf>
    <xf numFmtId="0" fontId="0" fillId="0" borderId="13" xfId="0" applyBorder="1"/>
    <xf numFmtId="178" fontId="0" fillId="0" borderId="1" xfId="0" applyNumberFormat="1" applyBorder="1"/>
    <xf numFmtId="178" fontId="5" fillId="0" borderId="1" xfId="0" applyNumberFormat="1" applyFont="1" applyBorder="1" applyAlignment="1">
      <alignment horizontal="left"/>
    </xf>
    <xf numFmtId="178" fontId="0" fillId="0" borderId="1" xfId="0" applyNumberFormat="1" applyBorder="1" applyAlignment="1">
      <alignment horizontal="left"/>
    </xf>
    <xf numFmtId="0" fontId="0" fillId="0" borderId="14" xfId="0" applyBorder="1"/>
    <xf numFmtId="0" fontId="5" fillId="0" borderId="14" xfId="0" applyFont="1" applyBorder="1" applyAlignment="1">
      <alignment horizontal="left"/>
    </xf>
    <xf numFmtId="0" fontId="0" fillId="0" borderId="4" xfId="0" applyBorder="1" applyAlignment="1">
      <alignment horizontal="left"/>
    </xf>
    <xf numFmtId="0" fontId="0" fillId="0" borderId="15" xfId="0" applyBorder="1"/>
    <xf numFmtId="0" fontId="5" fillId="0" borderId="15" xfId="0" applyFont="1" applyBorder="1" applyAlignment="1">
      <alignment horizontal="left"/>
    </xf>
    <xf numFmtId="21" fontId="0" fillId="2" borderId="15" xfId="0" applyNumberFormat="1" applyFill="1" applyBorder="1" applyAlignment="1">
      <alignment horizontal="left"/>
    </xf>
    <xf numFmtId="21" fontId="0" fillId="3" borderId="15" xfId="0" applyNumberFormat="1" applyFill="1" applyBorder="1" applyAlignment="1">
      <alignment horizontal="left"/>
    </xf>
    <xf numFmtId="21" fontId="0" fillId="3" borderId="15" xfId="0" applyNumberFormat="1" applyFill="1" applyBorder="1"/>
    <xf numFmtId="176" fontId="0" fillId="3" borderId="15" xfId="0" applyNumberFormat="1" applyFill="1" applyBorder="1"/>
    <xf numFmtId="176" fontId="0" fillId="2" borderId="15" xfId="0" applyNumberFormat="1" applyFill="1" applyBorder="1"/>
    <xf numFmtId="0" fontId="0" fillId="3" borderId="15" xfId="0" applyFill="1" applyBorder="1"/>
    <xf numFmtId="178" fontId="0" fillId="0" borderId="0" xfId="0" applyNumberFormat="1" applyFill="1" applyBorder="1"/>
    <xf numFmtId="2" fontId="0" fillId="0" borderId="0" xfId="0" applyNumberFormat="1"/>
    <xf numFmtId="21" fontId="0" fillId="3" borderId="0" xfId="0" applyNumberFormat="1" applyFill="1" applyBorder="1"/>
    <xf numFmtId="0" fontId="0" fillId="3" borderId="0" xfId="0" applyFill="1" applyBorder="1"/>
    <xf numFmtId="2" fontId="0" fillId="0" borderId="0" xfId="0" applyNumberFormat="1" applyBorder="1"/>
    <xf numFmtId="176" fontId="0" fillId="0" borderId="0" xfId="0" applyNumberFormat="1" applyBorder="1"/>
    <xf numFmtId="0" fontId="0" fillId="3" borderId="0" xfId="0" applyNumberFormat="1" applyFill="1" applyBorder="1"/>
    <xf numFmtId="0" fontId="0" fillId="2" borderId="0" xfId="0" applyFill="1" applyBorder="1"/>
    <xf numFmtId="177" fontId="0" fillId="3" borderId="0" xfId="0" applyNumberFormat="1" applyFill="1" applyBorder="1"/>
    <xf numFmtId="178" fontId="0" fillId="2" borderId="1" xfId="0" applyNumberFormat="1" applyFill="1" applyBorder="1" applyAlignment="1">
      <alignment horizontal="left"/>
    </xf>
    <xf numFmtId="177" fontId="0" fillId="0" borderId="0" xfId="0" applyNumberFormat="1" applyBorder="1"/>
    <xf numFmtId="177" fontId="0" fillId="0" borderId="0" xfId="0" applyNumberFormat="1" applyFill="1" applyBorder="1"/>
    <xf numFmtId="0" fontId="0" fillId="0" borderId="9" xfId="0" applyBorder="1"/>
    <xf numFmtId="21" fontId="0" fillId="2" borderId="9" xfId="0" applyNumberFormat="1" applyFill="1" applyBorder="1" applyAlignment="1">
      <alignment horizontal="left"/>
    </xf>
    <xf numFmtId="176" fontId="0" fillId="2" borderId="9" xfId="0" applyNumberFormat="1" applyFill="1" applyBorder="1"/>
    <xf numFmtId="21" fontId="0" fillId="2" borderId="14" xfId="0" applyNumberFormat="1" applyFill="1" applyBorder="1" applyAlignment="1">
      <alignment horizontal="left"/>
    </xf>
    <xf numFmtId="21" fontId="0" fillId="3" borderId="14" xfId="0" applyNumberFormat="1" applyFill="1" applyBorder="1"/>
    <xf numFmtId="176" fontId="0" fillId="3" borderId="14" xfId="0" applyNumberFormat="1" applyFill="1" applyBorder="1"/>
    <xf numFmtId="176" fontId="0" fillId="2" borderId="14" xfId="0" applyNumberFormat="1" applyFill="1" applyBorder="1"/>
    <xf numFmtId="0" fontId="0" fillId="3" borderId="14" xfId="0" applyFill="1" applyBorder="1"/>
    <xf numFmtId="0" fontId="5" fillId="0" borderId="16" xfId="0" applyFont="1" applyBorder="1" applyAlignment="1">
      <alignment horizontal="left"/>
    </xf>
    <xf numFmtId="21" fontId="0" fillId="3" borderId="16" xfId="0" applyNumberFormat="1" applyFill="1" applyBorder="1"/>
    <xf numFmtId="176" fontId="0" fillId="3" borderId="16" xfId="0" applyNumberFormat="1" applyFill="1" applyBorder="1"/>
    <xf numFmtId="0" fontId="4" fillId="4" borderId="1" xfId="0" applyFont="1" applyFill="1" applyBorder="1" applyAlignment="1">
      <alignment horizontal="left" shrinkToFit="1"/>
    </xf>
    <xf numFmtId="176" fontId="4" fillId="4" borderId="1" xfId="0" applyNumberFormat="1" applyFont="1" applyFill="1" applyBorder="1"/>
    <xf numFmtId="176" fontId="0" fillId="4" borderId="1" xfId="0" applyNumberFormat="1" applyFill="1" applyBorder="1"/>
    <xf numFmtId="176" fontId="0" fillId="4" borderId="7" xfId="0" applyNumberFormat="1" applyFill="1" applyBorder="1"/>
    <xf numFmtId="176" fontId="0" fillId="4" borderId="4" xfId="0" applyNumberFormat="1" applyFill="1" applyBorder="1"/>
    <xf numFmtId="176" fontId="0" fillId="4" borderId="14" xfId="0" applyNumberFormat="1" applyFill="1" applyBorder="1"/>
    <xf numFmtId="0" fontId="4" fillId="4" borderId="0" xfId="0" applyFont="1" applyFill="1" applyBorder="1" applyAlignment="1">
      <alignment horizontal="left" shrinkToFit="1"/>
    </xf>
    <xf numFmtId="0" fontId="4" fillId="4" borderId="0" xfId="0" applyFont="1" applyFill="1" applyBorder="1"/>
    <xf numFmtId="2" fontId="0" fillId="4" borderId="0" xfId="0" applyNumberFormat="1" applyFill="1"/>
    <xf numFmtId="176" fontId="0" fillId="4" borderId="0" xfId="0" applyNumberFormat="1" applyFill="1"/>
    <xf numFmtId="0" fontId="0" fillId="4" borderId="0" xfId="0" applyFill="1"/>
    <xf numFmtId="178" fontId="0" fillId="4" borderId="0" xfId="0" applyNumberFormat="1" applyFill="1" applyBorder="1" applyAlignment="1">
      <alignment horizontal="left"/>
    </xf>
    <xf numFmtId="0" fontId="4" fillId="0" borderId="0" xfId="0" applyFont="1" applyFill="1" applyBorder="1" applyAlignment="1">
      <alignment horizontal="left" shrinkToFit="1"/>
    </xf>
    <xf numFmtId="177" fontId="0" fillId="4" borderId="0" xfId="0" applyNumberFormat="1" applyFill="1"/>
    <xf numFmtId="0" fontId="0" fillId="4" borderId="0" xfId="0" applyFill="1" applyBorder="1"/>
    <xf numFmtId="178" fontId="0" fillId="0" borderId="0" xfId="0" applyNumberFormat="1" applyFont="1" applyFill="1" applyBorder="1" applyAlignment="1">
      <alignment shrinkToFit="1"/>
    </xf>
    <xf numFmtId="177" fontId="0" fillId="0" borderId="0" xfId="0" applyNumberFormat="1" applyFont="1" applyFill="1" applyBorder="1" applyAlignment="1">
      <alignment shrinkToFit="1"/>
    </xf>
    <xf numFmtId="0" fontId="0" fillId="0" borderId="0" xfId="0" applyFont="1" applyFill="1" applyBorder="1" applyAlignment="1">
      <alignment shrinkToFit="1"/>
    </xf>
    <xf numFmtId="178" fontId="0" fillId="0" borderId="0" xfId="0" applyNumberFormat="1" applyFont="1" applyFill="1" applyBorder="1" applyAlignment="1">
      <alignment horizontal="left" shrinkToFit="1"/>
    </xf>
    <xf numFmtId="0" fontId="5" fillId="0" borderId="0" xfId="0" applyFont="1" applyFill="1" applyBorder="1" applyAlignment="1">
      <alignment horizontal="left" wrapText="1"/>
    </xf>
    <xf numFmtId="21" fontId="0" fillId="0" borderId="0" xfId="0" applyNumberFormat="1" applyFill="1" applyBorder="1" applyAlignment="1">
      <alignment horizontal="left"/>
    </xf>
    <xf numFmtId="176" fontId="0" fillId="0" borderId="0" xfId="0" applyNumberFormat="1" applyFill="1" applyBorder="1"/>
    <xf numFmtId="0" fontId="0" fillId="0" borderId="0" xfId="0" applyNumberFormat="1" applyFill="1" applyBorder="1" applyAlignment="1">
      <alignment horizontal="left"/>
    </xf>
    <xf numFmtId="0" fontId="4" fillId="0" borderId="0" xfId="0" applyFont="1" applyFill="1" applyBorder="1"/>
    <xf numFmtId="178" fontId="0" fillId="0" borderId="0" xfId="0" applyNumberFormat="1" applyFill="1"/>
    <xf numFmtId="2" fontId="0" fillId="0" borderId="0" xfId="0" applyNumberFormat="1" applyFill="1"/>
    <xf numFmtId="0" fontId="0" fillId="0" borderId="0" xfId="0" applyFill="1"/>
    <xf numFmtId="176" fontId="0" fillId="0" borderId="0" xfId="0" applyNumberFormat="1" applyFill="1"/>
    <xf numFmtId="177" fontId="0" fillId="0" borderId="0" xfId="0" applyNumberFormat="1" applyFill="1"/>
    <xf numFmtId="0" fontId="0" fillId="0" borderId="0" xfId="0" applyFill="1" applyBorder="1" applyAlignment="1">
      <alignment horizontal="left"/>
    </xf>
    <xf numFmtId="21" fontId="0" fillId="0" borderId="0" xfId="0" applyNumberFormat="1" applyFill="1" applyBorder="1"/>
    <xf numFmtId="0" fontId="0" fillId="0" borderId="0" xfId="0" applyNumberFormat="1" applyFill="1" applyBorder="1"/>
    <xf numFmtId="9" fontId="0" fillId="0" borderId="0" xfId="1" applyFont="1" applyFill="1" applyBorder="1"/>
    <xf numFmtId="179" fontId="0" fillId="0" borderId="0" xfId="1" applyNumberFormat="1" applyFont="1" applyFill="1" applyBorder="1"/>
    <xf numFmtId="21" fontId="4" fillId="5" borderId="1" xfId="0" applyNumberFormat="1" applyFont="1" applyFill="1" applyBorder="1" applyAlignment="1">
      <alignment horizontal="left" shrinkToFit="1"/>
    </xf>
    <xf numFmtId="21" fontId="4" fillId="5" borderId="1" xfId="0" applyNumberFormat="1" applyFont="1" applyFill="1" applyBorder="1"/>
    <xf numFmtId="21" fontId="0" fillId="5" borderId="1" xfId="0" applyNumberFormat="1" applyFill="1" applyBorder="1"/>
    <xf numFmtId="21" fontId="0" fillId="5" borderId="7" xfId="0" applyNumberFormat="1" applyFill="1" applyBorder="1"/>
    <xf numFmtId="21" fontId="0" fillId="5" borderId="4" xfId="0" applyNumberFormat="1" applyFill="1" applyBorder="1"/>
    <xf numFmtId="21" fontId="0" fillId="5" borderId="16" xfId="0" applyNumberFormat="1" applyFill="1" applyBorder="1"/>
    <xf numFmtId="0" fontId="4" fillId="6" borderId="1" xfId="0" applyFont="1" applyFill="1" applyBorder="1" applyAlignment="1">
      <alignment horizontal="left" shrinkToFit="1"/>
    </xf>
    <xf numFmtId="0" fontId="4" fillId="6" borderId="1" xfId="0" applyFont="1" applyFill="1" applyBorder="1" applyAlignment="1">
      <alignment horizontal="left"/>
    </xf>
    <xf numFmtId="21" fontId="4" fillId="6" borderId="1" xfId="0" applyNumberFormat="1" applyFont="1" applyFill="1" applyBorder="1" applyAlignment="1">
      <alignment horizontal="left" shrinkToFit="1"/>
    </xf>
    <xf numFmtId="0" fontId="4" fillId="6" borderId="1" xfId="0" applyFont="1" applyFill="1" applyBorder="1"/>
    <xf numFmtId="21" fontId="4" fillId="6" borderId="1" xfId="0" applyNumberFormat="1" applyFont="1" applyFill="1" applyBorder="1" applyAlignment="1">
      <alignment horizontal="left"/>
    </xf>
    <xf numFmtId="176" fontId="4" fillId="6" borderId="1" xfId="0" applyNumberFormat="1" applyFont="1" applyFill="1" applyBorder="1"/>
    <xf numFmtId="0" fontId="0" fillId="6" borderId="1" xfId="0" applyFill="1" applyBorder="1"/>
    <xf numFmtId="0" fontId="5" fillId="6" borderId="1" xfId="0" applyFont="1" applyFill="1" applyBorder="1" applyAlignment="1">
      <alignment horizontal="left"/>
    </xf>
    <xf numFmtId="21" fontId="0" fillId="6" borderId="1" xfId="0" applyNumberFormat="1" applyFill="1" applyBorder="1" applyAlignment="1">
      <alignment horizontal="left"/>
    </xf>
    <xf numFmtId="176" fontId="0" fillId="6" borderId="1" xfId="0" applyNumberFormat="1" applyFill="1" applyBorder="1"/>
    <xf numFmtId="0" fontId="0" fillId="6" borderId="9" xfId="0" applyFill="1" applyBorder="1"/>
    <xf numFmtId="0" fontId="0" fillId="6" borderId="7" xfId="0" applyFill="1" applyBorder="1"/>
    <xf numFmtId="0" fontId="5" fillId="6" borderId="7" xfId="0" applyFont="1" applyFill="1" applyBorder="1" applyAlignment="1">
      <alignment horizontal="left"/>
    </xf>
    <xf numFmtId="21" fontId="0" fillId="6" borderId="7" xfId="0" applyNumberFormat="1" applyFill="1" applyBorder="1" applyAlignment="1">
      <alignment horizontal="left"/>
    </xf>
    <xf numFmtId="176" fontId="0" fillId="6" borderId="7" xfId="0" applyNumberFormat="1" applyFill="1" applyBorder="1"/>
    <xf numFmtId="0" fontId="0" fillId="6" borderId="4" xfId="0" applyFill="1" applyBorder="1"/>
    <xf numFmtId="0" fontId="5" fillId="6" borderId="4" xfId="0" applyFont="1" applyFill="1" applyBorder="1" applyAlignment="1">
      <alignment horizontal="left"/>
    </xf>
    <xf numFmtId="21" fontId="0" fillId="6" borderId="4" xfId="0" applyNumberFormat="1" applyFill="1" applyBorder="1" applyAlignment="1">
      <alignment horizontal="left"/>
    </xf>
    <xf numFmtId="176" fontId="0" fillId="6" borderId="4" xfId="0" applyNumberFormat="1" applyFill="1" applyBorder="1"/>
    <xf numFmtId="0" fontId="0" fillId="6" borderId="16" xfId="0" applyFill="1" applyBorder="1"/>
    <xf numFmtId="0" fontId="5" fillId="6" borderId="16" xfId="0" applyFont="1" applyFill="1" applyBorder="1" applyAlignment="1">
      <alignment horizontal="left"/>
    </xf>
    <xf numFmtId="21" fontId="0" fillId="6" borderId="16" xfId="0" applyNumberFormat="1" applyFill="1" applyBorder="1" applyAlignment="1">
      <alignment horizontal="left"/>
    </xf>
    <xf numFmtId="176" fontId="0" fillId="6" borderId="16" xfId="0" applyNumberFormat="1" applyFill="1" applyBorder="1"/>
    <xf numFmtId="0" fontId="4" fillId="5" borderId="1" xfId="0" applyNumberFormat="1" applyFont="1" applyFill="1" applyBorder="1" applyAlignment="1">
      <alignment horizontal="left" shrinkToFit="1"/>
    </xf>
    <xf numFmtId="0" fontId="4" fillId="5" borderId="1" xfId="0" applyFont="1" applyFill="1" applyBorder="1" applyAlignment="1">
      <alignment horizontal="left" shrinkToFit="1"/>
    </xf>
    <xf numFmtId="176" fontId="4" fillId="5" borderId="1" xfId="0" applyNumberFormat="1" applyFont="1" applyFill="1" applyBorder="1"/>
    <xf numFmtId="176" fontId="0" fillId="5" borderId="1" xfId="0" applyNumberFormat="1" applyFill="1" applyBorder="1"/>
    <xf numFmtId="176" fontId="0" fillId="5" borderId="7" xfId="0" applyNumberFormat="1" applyFill="1" applyBorder="1"/>
    <xf numFmtId="176" fontId="0" fillId="5" borderId="4" xfId="0" applyNumberFormat="1" applyFill="1" applyBorder="1"/>
    <xf numFmtId="176" fontId="0" fillId="5" borderId="16" xfId="0" applyNumberFormat="1" applyFill="1" applyBorder="1"/>
    <xf numFmtId="0" fontId="4" fillId="5" borderId="1" xfId="0" applyFont="1" applyFill="1" applyBorder="1"/>
    <xf numFmtId="0" fontId="0" fillId="5" borderId="1" xfId="0" applyFill="1" applyBorder="1"/>
    <xf numFmtId="0" fontId="0" fillId="5" borderId="7" xfId="0" applyFill="1" applyBorder="1"/>
    <xf numFmtId="0" fontId="0" fillId="5" borderId="4" xfId="0" applyFill="1" applyBorder="1"/>
    <xf numFmtId="0" fontId="0" fillId="5" borderId="16" xfId="0" applyFill="1" applyBorder="1"/>
    <xf numFmtId="0" fontId="4" fillId="0" borderId="0" xfId="0" applyFont="1" applyFill="1" applyBorder="1" applyAlignment="1">
      <alignment shrinkToFit="1"/>
    </xf>
    <xf numFmtId="178" fontId="0" fillId="0" borderId="0" xfId="0" applyNumberFormat="1" applyFont="1" applyFill="1" applyAlignment="1">
      <alignment shrinkToFit="1"/>
    </xf>
    <xf numFmtId="2" fontId="0" fillId="0" borderId="0" xfId="0" applyNumberFormat="1" applyFont="1" applyFill="1" applyAlignment="1">
      <alignment shrinkToFit="1"/>
    </xf>
    <xf numFmtId="0" fontId="0" fillId="0" borderId="0" xfId="0" applyFont="1" applyFill="1" applyAlignment="1">
      <alignment shrinkToFit="1"/>
    </xf>
    <xf numFmtId="176" fontId="0" fillId="0" borderId="0" xfId="0" applyNumberFormat="1" applyFont="1" applyFill="1" applyAlignment="1">
      <alignment shrinkToFit="1"/>
    </xf>
    <xf numFmtId="177" fontId="0" fillId="0" borderId="0" xfId="0" applyNumberFormat="1" applyFont="1" applyFill="1" applyAlignment="1">
      <alignment shrinkToFit="1"/>
    </xf>
    <xf numFmtId="0" fontId="0" fillId="0" borderId="0" xfId="0" applyFont="1" applyFill="1" applyBorder="1" applyAlignment="1">
      <alignment horizontal="left" shrinkToFit="1"/>
    </xf>
    <xf numFmtId="21" fontId="0" fillId="0" borderId="0" xfId="0" applyNumberFormat="1" applyFont="1" applyFill="1" applyBorder="1" applyAlignment="1">
      <alignment horizontal="left" shrinkToFit="1"/>
    </xf>
    <xf numFmtId="21" fontId="0" fillId="0" borderId="0" xfId="0" applyNumberFormat="1" applyFont="1" applyFill="1" applyBorder="1" applyAlignment="1">
      <alignment shrinkToFit="1"/>
    </xf>
    <xf numFmtId="0" fontId="0" fillId="0" borderId="0" xfId="0" applyNumberFormat="1" applyFont="1" applyFill="1" applyBorder="1" applyAlignment="1">
      <alignment shrinkToFit="1"/>
    </xf>
    <xf numFmtId="0" fontId="0" fillId="0" borderId="0" xfId="0" applyFill="1" applyBorder="1" applyAlignment="1">
      <alignment shrinkToFit="1"/>
    </xf>
    <xf numFmtId="0" fontId="0" fillId="0" borderId="0" xfId="0" applyFill="1" applyAlignment="1">
      <alignment shrinkToFit="1"/>
    </xf>
    <xf numFmtId="0" fontId="4" fillId="6" borderId="7" xfId="0" applyFont="1" applyFill="1" applyBorder="1"/>
    <xf numFmtId="0" fontId="4" fillId="6" borderId="7" xfId="0" applyFont="1" applyFill="1" applyBorder="1" applyAlignment="1">
      <alignment horizontal="left"/>
    </xf>
    <xf numFmtId="21" fontId="4" fillId="6" borderId="7" xfId="0" applyNumberFormat="1" applyFont="1" applyFill="1" applyBorder="1" applyAlignment="1">
      <alignment horizontal="left"/>
    </xf>
    <xf numFmtId="21" fontId="4" fillId="5" borderId="7" xfId="0" applyNumberFormat="1" applyFont="1" applyFill="1" applyBorder="1"/>
    <xf numFmtId="176" fontId="4" fillId="6" borderId="7" xfId="0" applyNumberFormat="1" applyFont="1" applyFill="1" applyBorder="1"/>
    <xf numFmtId="176" fontId="4" fillId="5" borderId="7" xfId="0" applyNumberFormat="1" applyFont="1" applyFill="1" applyBorder="1"/>
    <xf numFmtId="0" fontId="4" fillId="5" borderId="7" xfId="0" applyFont="1" applyFill="1" applyBorder="1"/>
    <xf numFmtId="1" fontId="0" fillId="5" borderId="4" xfId="0" applyNumberFormat="1" applyFill="1" applyBorder="1"/>
    <xf numFmtId="1" fontId="0" fillId="5" borderId="1" xfId="0" applyNumberFormat="1" applyFill="1" applyBorder="1"/>
    <xf numFmtId="1" fontId="0" fillId="5" borderId="7" xfId="0" applyNumberFormat="1" applyFill="1" applyBorder="1"/>
    <xf numFmtId="0" fontId="0" fillId="6" borderId="5" xfId="0" applyFill="1" applyBorder="1"/>
    <xf numFmtId="0" fontId="5" fillId="6" borderId="5" xfId="0" applyFont="1" applyFill="1" applyBorder="1" applyAlignment="1">
      <alignment horizontal="left"/>
    </xf>
    <xf numFmtId="21" fontId="0" fillId="6" borderId="5" xfId="0" applyNumberFormat="1" applyFill="1" applyBorder="1" applyAlignment="1">
      <alignment horizontal="left"/>
    </xf>
    <xf numFmtId="21" fontId="0" fillId="5" borderId="5" xfId="0" applyNumberFormat="1" applyFill="1" applyBorder="1"/>
    <xf numFmtId="176" fontId="0" fillId="6" borderId="5" xfId="0" applyNumberFormat="1" applyFill="1" applyBorder="1"/>
    <xf numFmtId="176" fontId="0" fillId="5" borderId="5" xfId="0" applyNumberFormat="1" applyFill="1" applyBorder="1"/>
    <xf numFmtId="0" fontId="0" fillId="5" borderId="5" xfId="0" applyFill="1" applyBorder="1"/>
    <xf numFmtId="9" fontId="0" fillId="0" borderId="0" xfId="1" applyNumberFormat="1" applyFont="1" applyFill="1" applyBorder="1"/>
    <xf numFmtId="9" fontId="0" fillId="0" borderId="0" xfId="1" applyNumberFormat="1" applyFont="1" applyFill="1"/>
    <xf numFmtId="0" fontId="5" fillId="6" borderId="9" xfId="0" applyFont="1" applyFill="1" applyBorder="1" applyAlignment="1">
      <alignment horizontal="left"/>
    </xf>
    <xf numFmtId="21" fontId="0" fillId="6" borderId="13" xfId="0" applyNumberFormat="1" applyFill="1" applyBorder="1" applyAlignment="1">
      <alignment horizontal="left"/>
    </xf>
    <xf numFmtId="21" fontId="0" fillId="6" borderId="9" xfId="0" applyNumberFormat="1" applyFill="1" applyBorder="1" applyAlignment="1">
      <alignment horizontal="left"/>
    </xf>
    <xf numFmtId="21" fontId="0" fillId="5" borderId="9" xfId="0" applyNumberFormat="1" applyFill="1" applyBorder="1"/>
    <xf numFmtId="176" fontId="0" fillId="6" borderId="9" xfId="0" applyNumberFormat="1" applyFill="1" applyBorder="1"/>
    <xf numFmtId="176" fontId="0" fillId="5" borderId="9" xfId="0" applyNumberFormat="1" applyFill="1" applyBorder="1"/>
    <xf numFmtId="0" fontId="0" fillId="5" borderId="9" xfId="0" applyFill="1" applyBorder="1"/>
    <xf numFmtId="0" fontId="4" fillId="0" borderId="7" xfId="0" applyFont="1" applyBorder="1"/>
    <xf numFmtId="178" fontId="13" fillId="0" borderId="0" xfId="0" applyNumberFormat="1" applyFont="1" applyFill="1"/>
    <xf numFmtId="176" fontId="14" fillId="6" borderId="7" xfId="0" applyNumberFormat="1" applyFont="1" applyFill="1" applyBorder="1"/>
    <xf numFmtId="176" fontId="13" fillId="6" borderId="4" xfId="0" applyNumberFormat="1" applyFont="1" applyFill="1" applyBorder="1"/>
    <xf numFmtId="176" fontId="0" fillId="6" borderId="4" xfId="0" applyNumberFormat="1" applyFont="1" applyFill="1" applyBorder="1"/>
    <xf numFmtId="0" fontId="0" fillId="7" borderId="1" xfId="0" applyFill="1" applyBorder="1"/>
    <xf numFmtId="0" fontId="0" fillId="7" borderId="4" xfId="0" applyFill="1" applyBorder="1"/>
    <xf numFmtId="0" fontId="4" fillId="6" borderId="0" xfId="0" applyFont="1" applyFill="1" applyBorder="1" applyAlignment="1">
      <alignment horizontal="left" shrinkToFit="1"/>
    </xf>
    <xf numFmtId="0" fontId="4" fillId="6" borderId="0" xfId="0" applyFont="1" applyFill="1" applyBorder="1"/>
    <xf numFmtId="0" fontId="0" fillId="6" borderId="0" xfId="0" applyFill="1" applyBorder="1"/>
    <xf numFmtId="176" fontId="13" fillId="6" borderId="1" xfId="0" applyNumberFormat="1" applyFont="1" applyFill="1" applyBorder="1"/>
    <xf numFmtId="176" fontId="0" fillId="6" borderId="1" xfId="0" applyNumberFormat="1" applyFont="1" applyFill="1" applyBorder="1"/>
  </cellXfs>
  <cellStyles count="2">
    <cellStyle name="パーセント" xfId="1" builtinId="5"/>
    <cellStyle name="標準" xfId="0" builtinId="0"/>
  </cellStyles>
  <dxfs count="2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BR69"/>
  <sheetViews>
    <sheetView zoomScaleNormal="100" zoomScaleSheetLayoutView="115" workbookViewId="0">
      <pane xSplit="2" ySplit="1" topLeftCell="C47" activePane="bottomRight" state="frozen"/>
      <selection pane="topRight" activeCell="C1" sqref="C1"/>
      <selection pane="bottomLeft" activeCell="A2" sqref="A2"/>
      <selection pane="bottomRight" activeCell="H70" sqref="H70"/>
    </sheetView>
  </sheetViews>
  <sheetFormatPr defaultRowHeight="13.5"/>
  <cols>
    <col min="1" max="1" width="3.75" style="22" bestFit="1" customWidth="1"/>
    <col min="2" max="2" width="15" style="22" bestFit="1" customWidth="1"/>
    <col min="3" max="3" width="6.625" style="23" customWidth="1"/>
    <col min="4" max="4" width="5.75" style="23" customWidth="1"/>
    <col min="5" max="6" width="8.25" style="24" customWidth="1"/>
    <col min="7" max="7" width="7.875" style="24" customWidth="1"/>
    <col min="8" max="10" width="7.5" style="151" customWidth="1"/>
    <col min="11" max="13" width="7.25" style="24" customWidth="1"/>
    <col min="14" max="14" width="8.125" style="24" customWidth="1"/>
    <col min="15" max="17" width="7.5" style="151" customWidth="1"/>
    <col min="18" max="18" width="7.25" style="24" customWidth="1"/>
    <col min="19" max="22" width="7.125" style="156" customWidth="1"/>
    <col min="23" max="23" width="7.125" style="155" customWidth="1"/>
    <col min="24" max="26" width="7.125" style="152" customWidth="1"/>
    <col min="27" max="38" width="7.125" style="156" customWidth="1"/>
    <col min="39" max="39" width="6.75" style="152" customWidth="1"/>
    <col min="40" max="40" width="5.75" style="152" customWidth="1"/>
    <col min="41" max="41" width="19.25" style="22" customWidth="1"/>
    <col min="42" max="42" width="9" style="22"/>
  </cols>
  <sheetData>
    <row r="1" spans="1:70" s="6" customFormat="1">
      <c r="A1" s="1" t="s">
        <v>87</v>
      </c>
      <c r="B1" s="1" t="s">
        <v>88</v>
      </c>
      <c r="C1" s="8" t="s">
        <v>89</v>
      </c>
      <c r="D1" s="8" t="s">
        <v>228</v>
      </c>
      <c r="E1" s="2" t="s">
        <v>106</v>
      </c>
      <c r="F1" s="2" t="s">
        <v>107</v>
      </c>
      <c r="G1" s="2" t="s">
        <v>108</v>
      </c>
      <c r="H1" s="3" t="s">
        <v>91</v>
      </c>
      <c r="I1" s="3" t="s">
        <v>92</v>
      </c>
      <c r="J1" s="3" t="s">
        <v>239</v>
      </c>
      <c r="K1" s="2" t="s">
        <v>240</v>
      </c>
      <c r="L1" s="2" t="s">
        <v>109</v>
      </c>
      <c r="M1" s="2" t="s">
        <v>110</v>
      </c>
      <c r="N1" s="2" t="s">
        <v>111</v>
      </c>
      <c r="O1" s="3" t="s">
        <v>93</v>
      </c>
      <c r="P1" s="3" t="s">
        <v>94</v>
      </c>
      <c r="Q1" s="3" t="s">
        <v>241</v>
      </c>
      <c r="R1" s="2" t="s">
        <v>242</v>
      </c>
      <c r="S1" s="35" t="s">
        <v>594</v>
      </c>
      <c r="T1" s="35" t="s">
        <v>291</v>
      </c>
      <c r="U1" s="35" t="s">
        <v>650</v>
      </c>
      <c r="V1" s="35" t="s">
        <v>651</v>
      </c>
      <c r="W1" s="4" t="s">
        <v>95</v>
      </c>
      <c r="X1" s="5" t="s">
        <v>96</v>
      </c>
      <c r="Y1" s="5" t="s">
        <v>637</v>
      </c>
      <c r="Z1" s="5" t="s">
        <v>638</v>
      </c>
      <c r="AA1" s="35" t="s">
        <v>97</v>
      </c>
      <c r="AB1" s="35" t="s">
        <v>2</v>
      </c>
      <c r="AC1" s="35" t="s">
        <v>3</v>
      </c>
      <c r="AD1" s="35" t="s">
        <v>4</v>
      </c>
      <c r="AE1" s="35" t="s">
        <v>214</v>
      </c>
      <c r="AF1" s="172" t="s">
        <v>5</v>
      </c>
      <c r="AG1" s="35" t="s">
        <v>6</v>
      </c>
      <c r="AH1" s="35" t="s">
        <v>7</v>
      </c>
      <c r="AI1" s="35" t="s">
        <v>8</v>
      </c>
      <c r="AJ1" s="172" t="s">
        <v>9</v>
      </c>
      <c r="AK1" s="35" t="s">
        <v>10</v>
      </c>
      <c r="AL1" s="35" t="s">
        <v>11</v>
      </c>
      <c r="AM1" s="5" t="s">
        <v>12</v>
      </c>
      <c r="AN1" s="5" t="s">
        <v>98</v>
      </c>
      <c r="AO1" s="6" t="s">
        <v>105</v>
      </c>
      <c r="AP1" s="6" t="s">
        <v>190</v>
      </c>
      <c r="AQ1" s="6" t="s">
        <v>289</v>
      </c>
      <c r="AV1" s="178"/>
      <c r="AW1" s="6" t="s">
        <v>288</v>
      </c>
      <c r="BB1" s="178" t="s">
        <v>654</v>
      </c>
      <c r="BC1" s="184" t="s">
        <v>653</v>
      </c>
      <c r="BD1" s="178" t="s">
        <v>656</v>
      </c>
      <c r="BE1" s="6" t="s">
        <v>286</v>
      </c>
      <c r="BJ1" s="178"/>
      <c r="BK1" s="6" t="s">
        <v>287</v>
      </c>
      <c r="BP1" s="178" t="s">
        <v>655</v>
      </c>
      <c r="BQ1" s="184" t="s">
        <v>657</v>
      </c>
      <c r="BR1" s="178" t="s">
        <v>658</v>
      </c>
    </row>
    <row r="2" spans="1:70" s="13" customFormat="1">
      <c r="A2" s="7"/>
      <c r="B2" s="7" t="s">
        <v>649</v>
      </c>
      <c r="C2" s="8"/>
      <c r="D2" s="8"/>
      <c r="E2" s="9"/>
      <c r="F2" s="9"/>
      <c r="G2" s="9"/>
      <c r="H2" s="11"/>
      <c r="I2" s="11"/>
      <c r="J2" s="11"/>
      <c r="K2" s="9"/>
      <c r="L2" s="9"/>
      <c r="M2" s="9"/>
      <c r="N2" s="9"/>
      <c r="O2" s="11"/>
      <c r="P2" s="11"/>
      <c r="Q2" s="11"/>
      <c r="R2" s="9"/>
      <c r="S2" s="36">
        <v>3</v>
      </c>
      <c r="T2" s="36">
        <v>4</v>
      </c>
      <c r="U2" s="36">
        <v>1</v>
      </c>
      <c r="V2" s="36">
        <v>3</v>
      </c>
      <c r="W2" s="12">
        <v>15</v>
      </c>
      <c r="X2" s="12">
        <v>15</v>
      </c>
      <c r="Y2" s="12">
        <v>5</v>
      </c>
      <c r="Z2" s="12">
        <v>5</v>
      </c>
      <c r="AA2" s="36">
        <v>10</v>
      </c>
      <c r="AB2" s="36">
        <v>8</v>
      </c>
      <c r="AC2" s="36">
        <v>4</v>
      </c>
      <c r="AD2" s="36">
        <v>5</v>
      </c>
      <c r="AE2" s="36">
        <v>2</v>
      </c>
      <c r="AF2" s="173">
        <v>7</v>
      </c>
      <c r="AG2" s="36">
        <v>4</v>
      </c>
      <c r="AH2" s="36">
        <v>2</v>
      </c>
      <c r="AI2" s="36">
        <v>6</v>
      </c>
      <c r="AJ2" s="173">
        <v>4</v>
      </c>
      <c r="AK2" s="36">
        <v>3</v>
      </c>
      <c r="AL2" s="36">
        <v>5</v>
      </c>
      <c r="AM2" s="12">
        <f t="shared" ref="AM2:AM26" si="0">SUM(W2:AL2)</f>
        <v>100</v>
      </c>
      <c r="AN2" s="32"/>
      <c r="AQ2" s="13">
        <v>1</v>
      </c>
      <c r="AR2" s="13">
        <v>2</v>
      </c>
      <c r="AS2" s="13">
        <v>3</v>
      </c>
      <c r="AT2" s="13">
        <v>4</v>
      </c>
      <c r="AU2" s="13">
        <v>5</v>
      </c>
      <c r="AV2" s="179" t="s">
        <v>613</v>
      </c>
      <c r="AW2" s="13">
        <v>1</v>
      </c>
      <c r="AX2" s="13">
        <v>2</v>
      </c>
      <c r="AY2" s="13">
        <v>3</v>
      </c>
      <c r="AZ2" s="13">
        <v>4</v>
      </c>
      <c r="BA2" s="13">
        <v>5</v>
      </c>
      <c r="BB2" s="179" t="s">
        <v>613</v>
      </c>
      <c r="BD2" s="179"/>
      <c r="BE2" s="13">
        <v>1</v>
      </c>
      <c r="BF2" s="13">
        <v>2</v>
      </c>
      <c r="BG2" s="13">
        <v>3</v>
      </c>
      <c r="BH2" s="13">
        <v>4</v>
      </c>
      <c r="BI2" s="13">
        <v>5</v>
      </c>
      <c r="BJ2" s="179" t="s">
        <v>613</v>
      </c>
      <c r="BK2" s="13">
        <v>1</v>
      </c>
      <c r="BL2" s="13">
        <v>2</v>
      </c>
      <c r="BM2" s="13">
        <v>3</v>
      </c>
      <c r="BN2" s="13">
        <v>4</v>
      </c>
      <c r="BO2" s="13">
        <v>5</v>
      </c>
      <c r="BP2" s="179" t="s">
        <v>613</v>
      </c>
      <c r="BR2" s="179"/>
    </row>
    <row r="3" spans="1:70">
      <c r="A3" s="14" t="s">
        <v>99</v>
      </c>
      <c r="B3" s="14" t="s">
        <v>123</v>
      </c>
      <c r="C3" s="101" t="s">
        <v>269</v>
      </c>
      <c r="D3" s="101">
        <v>4</v>
      </c>
      <c r="E3" s="16">
        <v>0.53472222222222221</v>
      </c>
      <c r="F3" s="16">
        <v>0.55876157407407401</v>
      </c>
      <c r="G3" s="16">
        <v>0.65622685185185181</v>
      </c>
      <c r="H3" s="18">
        <f t="shared" ref="H3:H26" si="1">F3-E3</f>
        <v>2.4039351851851798E-2</v>
      </c>
      <c r="I3" s="18">
        <f t="shared" ref="I3:I20" si="2">H3-MIN(H$3:H$20)</f>
        <v>2.6041666666665186E-3</v>
      </c>
      <c r="J3" s="18">
        <f t="shared" ref="J3:J9" si="3">G3-E3</f>
        <v>0.1215046296296296</v>
      </c>
      <c r="K3" s="16">
        <v>0.13194444444444445</v>
      </c>
      <c r="L3" s="16"/>
      <c r="M3" s="16"/>
      <c r="N3" s="16"/>
      <c r="O3" s="18">
        <f t="shared" ref="O3:O26" si="4">M3-L3</f>
        <v>0</v>
      </c>
      <c r="P3" s="18">
        <f t="shared" ref="P3:P20" si="5">O3-MIN(O$3:O$20)</f>
        <v>0</v>
      </c>
      <c r="Q3" s="18">
        <f t="shared" ref="Q3:Q9" si="6">N3-L3</f>
        <v>0</v>
      </c>
      <c r="R3" s="16">
        <v>0.15972222222222224</v>
      </c>
      <c r="S3" s="37">
        <v>4</v>
      </c>
      <c r="T3" s="37"/>
      <c r="U3" s="37">
        <v>1</v>
      </c>
      <c r="V3" s="37"/>
      <c r="W3" s="19">
        <f>ROUND(MAX(W$2-I3*60*24*0.5+BD3,0),1)</f>
        <v>13.1</v>
      </c>
      <c r="X3" s="19">
        <f>ROUND(MAX(X$2-P3*60*24*0.5+BR3,0),1)</f>
        <v>15</v>
      </c>
      <c r="Y3" s="19">
        <f t="shared" ref="Y3:Y26" si="7">ROUND(MAX(MIN(Y$2+(K3-J3)*60*24*0.2,$Y$2),0),1)</f>
        <v>5</v>
      </c>
      <c r="Z3" s="19">
        <f t="shared" ref="Z3:Z26" si="8">ROUND(MAX(MIN($Z$2+(R3-Q3)*60*24*0.2,$Z$2),0),1)</f>
        <v>5</v>
      </c>
      <c r="AA3" s="37">
        <v>10</v>
      </c>
      <c r="AB3" s="37">
        <v>8</v>
      </c>
      <c r="AC3" s="37">
        <v>4</v>
      </c>
      <c r="AD3" s="37">
        <v>4.3</v>
      </c>
      <c r="AE3" s="37">
        <v>1.6</v>
      </c>
      <c r="AF3" s="174">
        <f t="shared" ref="AF3:AF26" si="9">SUM(S3:T3)</f>
        <v>4</v>
      </c>
      <c r="AG3" s="37">
        <v>3.8</v>
      </c>
      <c r="AH3" s="37">
        <v>2</v>
      </c>
      <c r="AI3" s="37">
        <v>6</v>
      </c>
      <c r="AJ3" s="174">
        <f t="shared" ref="AJ3:AJ26" si="10">SUM(U3:V3)</f>
        <v>1</v>
      </c>
      <c r="AK3" s="37">
        <v>3</v>
      </c>
      <c r="AL3" s="37"/>
      <c r="AM3" s="19">
        <f t="shared" si="0"/>
        <v>85.8</v>
      </c>
      <c r="AN3" s="33">
        <f t="shared" ref="AN3:AN8" si="11">RANK(AM3,$AM$3:$AM$8)</f>
        <v>2</v>
      </c>
      <c r="AP3" s="22">
        <f t="shared" ref="AP3:AP8" si="12">RANK(I3,$I$3:$I$8,1)</f>
        <v>2</v>
      </c>
      <c r="AQ3" s="127">
        <v>12.9</v>
      </c>
      <c r="AR3" s="127">
        <v>10.95</v>
      </c>
      <c r="AS3" s="127">
        <v>11.25</v>
      </c>
      <c r="AT3" s="127">
        <v>13.3</v>
      </c>
      <c r="AU3" s="127"/>
      <c r="AV3" s="180">
        <f>AVERAGE(AQ3:AU3)</f>
        <v>12.100000000000001</v>
      </c>
      <c r="AW3" s="127">
        <v>12.8</v>
      </c>
      <c r="AX3" s="127">
        <v>11</v>
      </c>
      <c r="AY3" s="127">
        <v>13.25</v>
      </c>
      <c r="AZ3" s="127">
        <v>11.3</v>
      </c>
      <c r="BB3" s="181">
        <f>AVERAGE(AW3:AZ3)</f>
        <v>12.087499999999999</v>
      </c>
      <c r="BC3" s="43">
        <v>12</v>
      </c>
      <c r="BD3" s="185">
        <f>IF(ISERR(BB3),0,IF(BB3&lt;BC3,BB3-BC3,0))</f>
        <v>0</v>
      </c>
      <c r="BE3" s="127"/>
      <c r="BF3" s="127"/>
      <c r="BG3" s="127"/>
      <c r="BH3" s="127"/>
      <c r="BJ3" s="181" t="e">
        <f t="shared" ref="BJ3:BJ26" si="13">AVERAGE(BE3:BH3)</f>
        <v>#DIV/0!</v>
      </c>
      <c r="BK3" s="127"/>
      <c r="BL3" s="127"/>
      <c r="BM3" s="127"/>
      <c r="BN3" s="127"/>
      <c r="BO3" s="127"/>
      <c r="BP3" s="181" t="e">
        <f t="shared" ref="BP3:BP26" si="14">AVERAGE(BK3:BN3)</f>
        <v>#DIV/0!</v>
      </c>
      <c r="BQ3" s="43">
        <v>11</v>
      </c>
      <c r="BR3" s="185">
        <f>IF(ISERR(BP3),0,IF(BP3&lt;BQ3,BP3-BQ3,0))</f>
        <v>0</v>
      </c>
    </row>
    <row r="4" spans="1:70">
      <c r="A4" s="14" t="s">
        <v>99</v>
      </c>
      <c r="B4" s="14" t="s">
        <v>607</v>
      </c>
      <c r="C4" s="101" t="s">
        <v>270</v>
      </c>
      <c r="D4" s="102">
        <v>4</v>
      </c>
      <c r="E4" s="16">
        <v>0.53541666666666665</v>
      </c>
      <c r="F4" s="16">
        <v>0.56777777777777783</v>
      </c>
      <c r="G4" s="16">
        <v>0.64965277777777775</v>
      </c>
      <c r="H4" s="18">
        <f>F4-E4</f>
        <v>3.2361111111111174E-2</v>
      </c>
      <c r="I4" s="18">
        <f t="shared" si="2"/>
        <v>1.0925925925925895E-2</v>
      </c>
      <c r="J4" s="18">
        <f t="shared" si="3"/>
        <v>0.11423611111111109</v>
      </c>
      <c r="K4" s="16">
        <v>0.13194444444444445</v>
      </c>
      <c r="L4" s="16"/>
      <c r="M4" s="16"/>
      <c r="N4" s="16"/>
      <c r="O4" s="18">
        <f t="shared" si="4"/>
        <v>0</v>
      </c>
      <c r="P4" s="18">
        <f t="shared" si="5"/>
        <v>0</v>
      </c>
      <c r="Q4" s="18">
        <f t="shared" si="6"/>
        <v>0</v>
      </c>
      <c r="R4" s="16">
        <v>0.15972222222222224</v>
      </c>
      <c r="S4" s="37">
        <v>1.5</v>
      </c>
      <c r="T4" s="37"/>
      <c r="U4" s="37">
        <v>1</v>
      </c>
      <c r="V4" s="37"/>
      <c r="W4" s="19">
        <f t="shared" ref="W4:W26" si="15">ROUND(MAX(W$2-I4*60*24*0.5+BD4,0),1)</f>
        <v>7.1</v>
      </c>
      <c r="X4" s="19">
        <f t="shared" ref="X4:X26" si="16">ROUND(MAX(X$2-P4*60*24*0.5+BR4,0),1)</f>
        <v>15</v>
      </c>
      <c r="Y4" s="19">
        <f t="shared" si="7"/>
        <v>5</v>
      </c>
      <c r="Z4" s="19">
        <f t="shared" si="8"/>
        <v>5</v>
      </c>
      <c r="AA4" s="37">
        <v>9.3000000000000007</v>
      </c>
      <c r="AB4" s="37">
        <v>7.8</v>
      </c>
      <c r="AC4" s="37">
        <v>4</v>
      </c>
      <c r="AD4" s="37">
        <v>2</v>
      </c>
      <c r="AE4" s="37">
        <v>0.8</v>
      </c>
      <c r="AF4" s="174">
        <f t="shared" si="9"/>
        <v>1.5</v>
      </c>
      <c r="AG4" s="37">
        <v>0.6</v>
      </c>
      <c r="AH4" s="37">
        <v>1.2</v>
      </c>
      <c r="AI4" s="37">
        <v>5.8</v>
      </c>
      <c r="AJ4" s="174">
        <f t="shared" si="10"/>
        <v>1</v>
      </c>
      <c r="AK4" s="37">
        <v>3</v>
      </c>
      <c r="AL4" s="37"/>
      <c r="AM4" s="19">
        <f t="shared" si="0"/>
        <v>69.100000000000009</v>
      </c>
      <c r="AN4" s="33">
        <f t="shared" si="11"/>
        <v>5</v>
      </c>
      <c r="AP4" s="22">
        <f t="shared" si="12"/>
        <v>4</v>
      </c>
      <c r="AQ4" s="127">
        <v>12.15</v>
      </c>
      <c r="AR4" s="127">
        <v>12.15</v>
      </c>
      <c r="AS4" s="127">
        <v>15.15</v>
      </c>
      <c r="AT4" s="127">
        <v>13.55</v>
      </c>
      <c r="AU4" s="127"/>
      <c r="AV4" s="180">
        <f t="shared" ref="AV4:AV26" si="17">AVERAGE(AQ4:AU4)</f>
        <v>13.25</v>
      </c>
      <c r="AW4" s="127">
        <v>12.1</v>
      </c>
      <c r="AX4" s="127">
        <v>12</v>
      </c>
      <c r="AY4" s="127">
        <v>15.1</v>
      </c>
      <c r="AZ4" s="127">
        <v>13.45</v>
      </c>
      <c r="BB4" s="181">
        <f>AVERAGE(AW4:AZ4)</f>
        <v>13.162500000000001</v>
      </c>
      <c r="BC4" s="43">
        <v>12</v>
      </c>
      <c r="BD4" s="185">
        <f t="shared" ref="BD4:BD26" si="18">IF(ISERR(BB4),0,IF(BB4&lt;BC4,BB4-BC4,0))</f>
        <v>0</v>
      </c>
      <c r="BE4" s="127"/>
      <c r="BF4" s="127"/>
      <c r="BG4" s="127"/>
      <c r="BH4" s="127"/>
      <c r="BJ4" s="181" t="e">
        <f t="shared" si="13"/>
        <v>#DIV/0!</v>
      </c>
      <c r="BK4" s="127"/>
      <c r="BL4" s="127"/>
      <c r="BM4" s="127"/>
      <c r="BN4" s="127"/>
      <c r="BO4" s="127"/>
      <c r="BP4" s="181" t="e">
        <f t="shared" si="14"/>
        <v>#DIV/0!</v>
      </c>
      <c r="BQ4" s="43">
        <v>11</v>
      </c>
      <c r="BR4" s="185">
        <f t="shared" ref="BR4:BR26" si="19">IF(ISERR(BP4),0,IF(BP4&lt;BQ4,BP4-BQ4,0))</f>
        <v>0</v>
      </c>
    </row>
    <row r="5" spans="1:70">
      <c r="A5" s="14" t="s">
        <v>99</v>
      </c>
      <c r="B5" s="14" t="s">
        <v>126</v>
      </c>
      <c r="C5" s="101" t="s">
        <v>272</v>
      </c>
      <c r="D5" s="101">
        <v>4</v>
      </c>
      <c r="E5" s="16">
        <v>0.53611111111111098</v>
      </c>
      <c r="F5" s="16">
        <v>0.55754629629629626</v>
      </c>
      <c r="G5" s="16">
        <v>0.66151620370370368</v>
      </c>
      <c r="H5" s="18">
        <f>F5-E5</f>
        <v>2.1435185185185279E-2</v>
      </c>
      <c r="I5" s="18">
        <f t="shared" si="2"/>
        <v>0</v>
      </c>
      <c r="J5" s="18">
        <f t="shared" si="3"/>
        <v>0.12540509259259269</v>
      </c>
      <c r="K5" s="16">
        <v>0.13194444444444445</v>
      </c>
      <c r="L5" s="16"/>
      <c r="M5" s="16"/>
      <c r="N5" s="16"/>
      <c r="O5" s="18">
        <f t="shared" si="4"/>
        <v>0</v>
      </c>
      <c r="P5" s="18">
        <f t="shared" si="5"/>
        <v>0</v>
      </c>
      <c r="Q5" s="18">
        <f t="shared" si="6"/>
        <v>0</v>
      </c>
      <c r="R5" s="16">
        <v>0.15972222222222224</v>
      </c>
      <c r="S5" s="37">
        <v>4</v>
      </c>
      <c r="T5" s="37"/>
      <c r="U5" s="37">
        <v>1</v>
      </c>
      <c r="V5" s="37"/>
      <c r="W5" s="19">
        <f t="shared" si="15"/>
        <v>15</v>
      </c>
      <c r="X5" s="19">
        <f t="shared" si="16"/>
        <v>15</v>
      </c>
      <c r="Y5" s="19">
        <f t="shared" si="7"/>
        <v>5</v>
      </c>
      <c r="Z5" s="19">
        <f t="shared" si="8"/>
        <v>5</v>
      </c>
      <c r="AA5" s="37">
        <v>10</v>
      </c>
      <c r="AB5" s="37">
        <v>8</v>
      </c>
      <c r="AC5" s="37">
        <v>4</v>
      </c>
      <c r="AD5" s="37">
        <v>4.8</v>
      </c>
      <c r="AE5" s="37">
        <v>1.8</v>
      </c>
      <c r="AF5" s="174">
        <f t="shared" si="9"/>
        <v>4</v>
      </c>
      <c r="AG5" s="37">
        <v>4</v>
      </c>
      <c r="AH5" s="37">
        <v>2</v>
      </c>
      <c r="AI5" s="37">
        <v>6</v>
      </c>
      <c r="AJ5" s="174">
        <f t="shared" si="10"/>
        <v>1</v>
      </c>
      <c r="AK5" s="37">
        <v>3</v>
      </c>
      <c r="AL5" s="37"/>
      <c r="AM5" s="19">
        <f t="shared" si="0"/>
        <v>88.6</v>
      </c>
      <c r="AN5" s="33">
        <f t="shared" si="11"/>
        <v>1</v>
      </c>
      <c r="AP5" s="22">
        <f t="shared" si="12"/>
        <v>1</v>
      </c>
      <c r="AQ5" s="127">
        <v>12.55</v>
      </c>
      <c r="AR5" s="127">
        <v>12.4</v>
      </c>
      <c r="AS5" s="127">
        <v>10.5</v>
      </c>
      <c r="AT5" s="127">
        <v>13</v>
      </c>
      <c r="AU5" s="127"/>
      <c r="AV5" s="180">
        <f t="shared" si="17"/>
        <v>12.112500000000001</v>
      </c>
      <c r="AW5" s="127">
        <v>12.65</v>
      </c>
      <c r="AX5" s="127">
        <v>12.25</v>
      </c>
      <c r="AY5" s="127">
        <v>10.55</v>
      </c>
      <c r="AZ5" s="127">
        <v>13</v>
      </c>
      <c r="BB5" s="181">
        <f>AVERAGE(AW5:AZ5)</f>
        <v>12.112500000000001</v>
      </c>
      <c r="BC5" s="43">
        <v>12</v>
      </c>
      <c r="BD5" s="185">
        <f t="shared" si="18"/>
        <v>0</v>
      </c>
      <c r="BE5" s="127"/>
      <c r="BF5" s="127"/>
      <c r="BG5" s="127"/>
      <c r="BH5" s="127"/>
      <c r="BJ5" s="181" t="e">
        <f t="shared" si="13"/>
        <v>#DIV/0!</v>
      </c>
      <c r="BK5" s="127"/>
      <c r="BL5" s="127"/>
      <c r="BM5" s="127"/>
      <c r="BN5" s="127"/>
      <c r="BO5" s="127"/>
      <c r="BP5" s="181" t="e">
        <f t="shared" si="14"/>
        <v>#DIV/0!</v>
      </c>
      <c r="BQ5" s="43">
        <v>11</v>
      </c>
      <c r="BR5" s="185">
        <f t="shared" si="19"/>
        <v>0</v>
      </c>
    </row>
    <row r="6" spans="1:70">
      <c r="A6" s="14" t="s">
        <v>99</v>
      </c>
      <c r="B6" s="14" t="s">
        <v>641</v>
      </c>
      <c r="C6" s="101" t="s">
        <v>273</v>
      </c>
      <c r="D6" s="101">
        <v>4</v>
      </c>
      <c r="E6" s="16">
        <v>0.53680555555555598</v>
      </c>
      <c r="F6" s="16">
        <v>0.57355324074074077</v>
      </c>
      <c r="G6" s="16">
        <v>0.64456018518518521</v>
      </c>
      <c r="H6" s="18">
        <f t="shared" si="1"/>
        <v>3.6747685185184786E-2</v>
      </c>
      <c r="I6" s="18">
        <f t="shared" si="2"/>
        <v>1.5312499999999507E-2</v>
      </c>
      <c r="J6" s="18">
        <f t="shared" si="3"/>
        <v>0.10775462962962923</v>
      </c>
      <c r="K6" s="16">
        <v>0.13194444444444445</v>
      </c>
      <c r="L6" s="16"/>
      <c r="M6" s="16"/>
      <c r="N6" s="16"/>
      <c r="O6" s="18">
        <f t="shared" si="4"/>
        <v>0</v>
      </c>
      <c r="P6" s="18">
        <f t="shared" si="5"/>
        <v>0</v>
      </c>
      <c r="Q6" s="18">
        <f t="shared" si="6"/>
        <v>0</v>
      </c>
      <c r="R6" s="16">
        <v>0.15972222222222224</v>
      </c>
      <c r="S6" s="37">
        <v>1</v>
      </c>
      <c r="T6" s="37"/>
      <c r="U6" s="37">
        <v>0.5</v>
      </c>
      <c r="V6" s="37"/>
      <c r="W6" s="19">
        <f t="shared" si="15"/>
        <v>4</v>
      </c>
      <c r="X6" s="19">
        <f t="shared" si="16"/>
        <v>15</v>
      </c>
      <c r="Y6" s="19">
        <f t="shared" si="7"/>
        <v>5</v>
      </c>
      <c r="Z6" s="19">
        <f t="shared" si="8"/>
        <v>5</v>
      </c>
      <c r="AA6" s="37">
        <v>8</v>
      </c>
      <c r="AB6" s="37">
        <v>6.1</v>
      </c>
      <c r="AC6" s="37">
        <v>3.6</v>
      </c>
      <c r="AD6" s="37">
        <v>2.2000000000000002</v>
      </c>
      <c r="AE6" s="37">
        <v>1.6</v>
      </c>
      <c r="AF6" s="174">
        <f t="shared" si="9"/>
        <v>1</v>
      </c>
      <c r="AG6" s="37">
        <v>2</v>
      </c>
      <c r="AH6" s="37">
        <v>1.6</v>
      </c>
      <c r="AI6" s="37">
        <v>5.0999999999999996</v>
      </c>
      <c r="AJ6" s="174">
        <f t="shared" si="10"/>
        <v>0.5</v>
      </c>
      <c r="AK6" s="37">
        <v>3</v>
      </c>
      <c r="AL6" s="37"/>
      <c r="AM6" s="19">
        <f t="shared" si="0"/>
        <v>63.70000000000001</v>
      </c>
      <c r="AN6" s="33">
        <f t="shared" si="11"/>
        <v>6</v>
      </c>
      <c r="AP6" s="22">
        <f t="shared" si="12"/>
        <v>6</v>
      </c>
      <c r="AQ6" s="127">
        <v>16.05</v>
      </c>
      <c r="AR6" s="127">
        <v>16.2</v>
      </c>
      <c r="AS6" s="127">
        <v>16.3</v>
      </c>
      <c r="AT6" s="127">
        <v>16.350000000000001</v>
      </c>
      <c r="AU6" s="127"/>
      <c r="AV6" s="180">
        <f t="shared" si="17"/>
        <v>16.225000000000001</v>
      </c>
      <c r="AW6" s="127">
        <v>15.7</v>
      </c>
      <c r="AX6" s="127">
        <v>15.75</v>
      </c>
      <c r="AY6" s="127">
        <v>15.8</v>
      </c>
      <c r="AZ6" s="127">
        <v>15.6</v>
      </c>
      <c r="BB6" s="181">
        <f>AVERAGE(AW6:BA6)</f>
        <v>15.7125</v>
      </c>
      <c r="BC6" s="43">
        <v>12</v>
      </c>
      <c r="BD6" s="185">
        <f t="shared" si="18"/>
        <v>0</v>
      </c>
      <c r="BE6" s="127"/>
      <c r="BF6" s="127"/>
      <c r="BG6" s="127"/>
      <c r="BH6" s="127"/>
      <c r="BJ6" s="181" t="e">
        <f t="shared" si="13"/>
        <v>#DIV/0!</v>
      </c>
      <c r="BK6" s="127"/>
      <c r="BL6" s="127"/>
      <c r="BM6" s="127"/>
      <c r="BN6" s="127"/>
      <c r="BO6" s="127"/>
      <c r="BP6" s="181" t="e">
        <f t="shared" si="14"/>
        <v>#DIV/0!</v>
      </c>
      <c r="BQ6" s="43">
        <v>11</v>
      </c>
      <c r="BR6" s="185">
        <f t="shared" si="19"/>
        <v>0</v>
      </c>
    </row>
    <row r="7" spans="1:70">
      <c r="A7" s="14" t="s">
        <v>99</v>
      </c>
      <c r="B7" s="161" t="s">
        <v>179</v>
      </c>
      <c r="C7" s="101" t="s">
        <v>274</v>
      </c>
      <c r="D7" s="101">
        <v>4</v>
      </c>
      <c r="E7" s="16">
        <v>0.53749999999999998</v>
      </c>
      <c r="F7" s="16">
        <v>0.56949074074074069</v>
      </c>
      <c r="G7" s="16">
        <v>0.66168981481481481</v>
      </c>
      <c r="H7" s="18">
        <f t="shared" si="1"/>
        <v>3.1990740740740709E-2</v>
      </c>
      <c r="I7" s="18">
        <f t="shared" si="2"/>
        <v>1.0555555555555429E-2</v>
      </c>
      <c r="J7" s="18">
        <f t="shared" si="3"/>
        <v>0.12418981481481484</v>
      </c>
      <c r="K7" s="16">
        <v>0.13194444444444445</v>
      </c>
      <c r="L7" s="16"/>
      <c r="M7" s="16"/>
      <c r="N7" s="16"/>
      <c r="O7" s="18">
        <f t="shared" si="4"/>
        <v>0</v>
      </c>
      <c r="P7" s="18">
        <f t="shared" si="5"/>
        <v>0</v>
      </c>
      <c r="Q7" s="18">
        <f t="shared" si="6"/>
        <v>0</v>
      </c>
      <c r="R7" s="16">
        <v>0.15972222222222224</v>
      </c>
      <c r="S7" s="37">
        <v>4</v>
      </c>
      <c r="T7" s="37"/>
      <c r="U7" s="37">
        <v>0.5</v>
      </c>
      <c r="V7" s="37"/>
      <c r="W7" s="19">
        <f t="shared" si="15"/>
        <v>7.4</v>
      </c>
      <c r="X7" s="19">
        <f t="shared" si="16"/>
        <v>15</v>
      </c>
      <c r="Y7" s="19">
        <f t="shared" si="7"/>
        <v>5</v>
      </c>
      <c r="Z7" s="19">
        <f t="shared" si="8"/>
        <v>5</v>
      </c>
      <c r="AA7" s="37">
        <v>10</v>
      </c>
      <c r="AB7" s="37">
        <v>7.8</v>
      </c>
      <c r="AC7" s="37">
        <v>3.6</v>
      </c>
      <c r="AD7" s="37">
        <v>2.1</v>
      </c>
      <c r="AE7" s="37">
        <v>1.2</v>
      </c>
      <c r="AF7" s="174">
        <f t="shared" si="9"/>
        <v>4</v>
      </c>
      <c r="AG7" s="37">
        <v>1</v>
      </c>
      <c r="AH7" s="37">
        <v>1.6</v>
      </c>
      <c r="AI7" s="37">
        <v>5.8</v>
      </c>
      <c r="AJ7" s="174">
        <f t="shared" si="10"/>
        <v>0.5</v>
      </c>
      <c r="AK7" s="37">
        <v>3</v>
      </c>
      <c r="AL7" s="37"/>
      <c r="AM7" s="19">
        <f t="shared" si="0"/>
        <v>73</v>
      </c>
      <c r="AN7" s="33">
        <f t="shared" si="11"/>
        <v>4</v>
      </c>
      <c r="AP7" s="22">
        <f t="shared" si="12"/>
        <v>3</v>
      </c>
      <c r="AQ7" s="127">
        <v>14.25</v>
      </c>
      <c r="AR7" s="127">
        <v>13.95</v>
      </c>
      <c r="AS7" s="127">
        <v>12.55</v>
      </c>
      <c r="AT7" s="127">
        <v>12.75</v>
      </c>
      <c r="AU7" s="127"/>
      <c r="AV7" s="180">
        <f t="shared" si="17"/>
        <v>13.375</v>
      </c>
      <c r="AW7" s="127">
        <v>14.25</v>
      </c>
      <c r="AX7" s="127">
        <v>12.6</v>
      </c>
      <c r="AY7" s="127">
        <v>12.35</v>
      </c>
      <c r="AZ7" s="127">
        <v>13.7</v>
      </c>
      <c r="BB7" s="181">
        <f t="shared" ref="BB7:BB26" si="20">AVERAGE(AW7:BA7)</f>
        <v>13.225000000000001</v>
      </c>
      <c r="BC7" s="43">
        <v>12</v>
      </c>
      <c r="BD7" s="185">
        <f t="shared" si="18"/>
        <v>0</v>
      </c>
      <c r="BE7" s="127"/>
      <c r="BF7" s="127"/>
      <c r="BG7" s="127"/>
      <c r="BH7" s="127"/>
      <c r="BJ7" s="181" t="e">
        <f t="shared" si="13"/>
        <v>#DIV/0!</v>
      </c>
      <c r="BK7" s="127"/>
      <c r="BL7" s="127"/>
      <c r="BM7" s="127"/>
      <c r="BN7" s="127"/>
      <c r="BO7" s="127"/>
      <c r="BP7" s="181" t="e">
        <f t="shared" si="14"/>
        <v>#DIV/0!</v>
      </c>
      <c r="BQ7" s="43">
        <v>11</v>
      </c>
      <c r="BR7" s="185">
        <f t="shared" si="19"/>
        <v>0</v>
      </c>
    </row>
    <row r="8" spans="1:70" ht="14.25" thickBot="1">
      <c r="A8" s="62" t="s">
        <v>99</v>
      </c>
      <c r="B8" s="62" t="s">
        <v>124</v>
      </c>
      <c r="C8" s="110" t="s">
        <v>275</v>
      </c>
      <c r="D8" s="110">
        <v>4</v>
      </c>
      <c r="E8" s="64">
        <v>0.53819444444444398</v>
      </c>
      <c r="F8" s="64">
        <v>0.57209490740740743</v>
      </c>
      <c r="G8" s="64">
        <v>0.6537384259259259</v>
      </c>
      <c r="H8" s="66">
        <f>F8-E8</f>
        <v>3.3900462962963451E-2</v>
      </c>
      <c r="I8" s="66">
        <f t="shared" si="2"/>
        <v>1.2465277777778172E-2</v>
      </c>
      <c r="J8" s="66">
        <f t="shared" si="3"/>
        <v>0.11554398148148193</v>
      </c>
      <c r="K8" s="64">
        <v>0.13194444444444445</v>
      </c>
      <c r="L8" s="64"/>
      <c r="M8" s="64"/>
      <c r="N8" s="64"/>
      <c r="O8" s="66">
        <f>M8-L8</f>
        <v>0</v>
      </c>
      <c r="P8" s="66">
        <f t="shared" si="5"/>
        <v>0</v>
      </c>
      <c r="Q8" s="66">
        <f t="shared" si="6"/>
        <v>0</v>
      </c>
      <c r="R8" s="64">
        <v>0.15972222222222224</v>
      </c>
      <c r="S8" s="68">
        <v>4</v>
      </c>
      <c r="T8" s="68"/>
      <c r="U8" s="68">
        <v>1</v>
      </c>
      <c r="V8" s="68"/>
      <c r="W8" s="67">
        <f t="shared" si="15"/>
        <v>6</v>
      </c>
      <c r="X8" s="67">
        <f t="shared" si="16"/>
        <v>15</v>
      </c>
      <c r="Y8" s="67">
        <f t="shared" si="7"/>
        <v>5</v>
      </c>
      <c r="Z8" s="67">
        <f t="shared" si="8"/>
        <v>5</v>
      </c>
      <c r="AA8" s="68">
        <v>9.3000000000000007</v>
      </c>
      <c r="AB8" s="68">
        <v>8</v>
      </c>
      <c r="AC8" s="68">
        <v>4</v>
      </c>
      <c r="AD8" s="68">
        <v>3.8</v>
      </c>
      <c r="AE8" s="68">
        <v>1.4</v>
      </c>
      <c r="AF8" s="175">
        <f t="shared" si="9"/>
        <v>4</v>
      </c>
      <c r="AG8" s="68">
        <v>2.2000000000000002</v>
      </c>
      <c r="AH8" s="68">
        <v>1.6</v>
      </c>
      <c r="AI8" s="68">
        <v>5.6</v>
      </c>
      <c r="AJ8" s="175">
        <f t="shared" si="10"/>
        <v>1</v>
      </c>
      <c r="AK8" s="68">
        <v>3</v>
      </c>
      <c r="AL8" s="68"/>
      <c r="AM8" s="67">
        <f t="shared" si="0"/>
        <v>74.899999999999991</v>
      </c>
      <c r="AN8" s="111">
        <f t="shared" si="11"/>
        <v>3</v>
      </c>
      <c r="AP8" s="22">
        <f t="shared" si="12"/>
        <v>5</v>
      </c>
      <c r="AQ8" s="127">
        <v>14.05</v>
      </c>
      <c r="AR8" s="127">
        <v>15.55</v>
      </c>
      <c r="AS8" s="127">
        <v>14.1</v>
      </c>
      <c r="AT8" s="127">
        <v>16.850000000000001</v>
      </c>
      <c r="AU8" s="127"/>
      <c r="AV8" s="180">
        <f t="shared" si="17"/>
        <v>15.137500000000001</v>
      </c>
      <c r="AW8" s="127">
        <v>14.05</v>
      </c>
      <c r="AX8" s="127">
        <v>16.399999999999999</v>
      </c>
      <c r="AY8" s="127">
        <v>13.85</v>
      </c>
      <c r="AZ8" s="127">
        <v>15.1</v>
      </c>
      <c r="BB8" s="181">
        <f t="shared" si="20"/>
        <v>14.85</v>
      </c>
      <c r="BC8" s="43">
        <v>12</v>
      </c>
      <c r="BD8" s="185">
        <f t="shared" si="18"/>
        <v>0</v>
      </c>
      <c r="BE8" s="127"/>
      <c r="BF8" s="127"/>
      <c r="BG8" s="127"/>
      <c r="BH8" s="127"/>
      <c r="BJ8" s="181" t="e">
        <f t="shared" si="13"/>
        <v>#DIV/0!</v>
      </c>
      <c r="BK8" s="127"/>
      <c r="BL8" s="127"/>
      <c r="BM8" s="127"/>
      <c r="BN8" s="127"/>
      <c r="BO8" s="127"/>
      <c r="BP8" s="181" t="e">
        <f t="shared" si="14"/>
        <v>#DIV/0!</v>
      </c>
      <c r="BQ8" s="43">
        <v>11</v>
      </c>
      <c r="BR8" s="185">
        <f t="shared" si="19"/>
        <v>0</v>
      </c>
    </row>
    <row r="9" spans="1:70">
      <c r="A9" s="44" t="s">
        <v>100</v>
      </c>
      <c r="B9" s="44" t="s">
        <v>185</v>
      </c>
      <c r="C9" s="107" t="s">
        <v>261</v>
      </c>
      <c r="D9" s="107">
        <v>4</v>
      </c>
      <c r="E9" s="46">
        <v>0.53888888888888886</v>
      </c>
      <c r="F9" s="46">
        <v>0.56291666666666662</v>
      </c>
      <c r="G9" s="46">
        <v>0.66369212962962965</v>
      </c>
      <c r="H9" s="48">
        <f>F9-E9</f>
        <v>2.4027777777777759E-2</v>
      </c>
      <c r="I9" s="48">
        <f t="shared" si="2"/>
        <v>2.5925925925924798E-3</v>
      </c>
      <c r="J9" s="48">
        <f t="shared" si="3"/>
        <v>0.12480324074074078</v>
      </c>
      <c r="K9" s="46">
        <v>0.13194444444444445</v>
      </c>
      <c r="L9" s="46"/>
      <c r="M9" s="46"/>
      <c r="N9" s="46"/>
      <c r="O9" s="48">
        <f t="shared" si="4"/>
        <v>0</v>
      </c>
      <c r="P9" s="48">
        <f t="shared" si="5"/>
        <v>0</v>
      </c>
      <c r="Q9" s="48">
        <f t="shared" si="6"/>
        <v>0</v>
      </c>
      <c r="R9" s="46">
        <v>0.15972222222222224</v>
      </c>
      <c r="S9" s="50">
        <v>4</v>
      </c>
      <c r="T9" s="50"/>
      <c r="U9" s="50">
        <v>1</v>
      </c>
      <c r="V9" s="50"/>
      <c r="W9" s="49">
        <f t="shared" si="15"/>
        <v>13.1</v>
      </c>
      <c r="X9" s="49">
        <f t="shared" si="16"/>
        <v>15</v>
      </c>
      <c r="Y9" s="49">
        <f t="shared" si="7"/>
        <v>5</v>
      </c>
      <c r="Z9" s="49">
        <f t="shared" si="8"/>
        <v>5</v>
      </c>
      <c r="AA9" s="50">
        <v>9.5</v>
      </c>
      <c r="AB9" s="50">
        <v>8</v>
      </c>
      <c r="AC9" s="50">
        <v>4</v>
      </c>
      <c r="AD9" s="50">
        <v>5</v>
      </c>
      <c r="AE9" s="50">
        <v>1.8</v>
      </c>
      <c r="AF9" s="176">
        <f t="shared" si="9"/>
        <v>4</v>
      </c>
      <c r="AG9" s="50">
        <v>3.6</v>
      </c>
      <c r="AH9" s="50">
        <v>1.8</v>
      </c>
      <c r="AI9" s="50">
        <v>6</v>
      </c>
      <c r="AJ9" s="176">
        <f t="shared" si="10"/>
        <v>1</v>
      </c>
      <c r="AK9" s="50">
        <v>2.5</v>
      </c>
      <c r="AL9" s="50"/>
      <c r="AM9" s="49">
        <f t="shared" si="0"/>
        <v>85.299999999999983</v>
      </c>
      <c r="AN9" s="51">
        <f t="shared" ref="AN9:AN20" si="21">RANK(AM9,$AM$9:$AM$20)</f>
        <v>1</v>
      </c>
      <c r="AP9" s="22">
        <f t="shared" ref="AP9:AP20" si="22">RANK(I9,$I$9:$I$20,1)</f>
        <v>1</v>
      </c>
      <c r="AQ9" s="149">
        <v>12.2</v>
      </c>
      <c r="AR9" s="149">
        <v>12.25</v>
      </c>
      <c r="AS9" s="149">
        <v>12.25</v>
      </c>
      <c r="AT9" s="149">
        <v>12.25</v>
      </c>
      <c r="AU9" s="127"/>
      <c r="AV9" s="180">
        <f t="shared" si="17"/>
        <v>12.237500000000001</v>
      </c>
      <c r="AW9" s="149">
        <v>12.2</v>
      </c>
      <c r="AX9" s="149">
        <v>12.4</v>
      </c>
      <c r="AY9" s="149">
        <v>12.25</v>
      </c>
      <c r="AZ9" s="127">
        <v>12.25</v>
      </c>
      <c r="BB9" s="181">
        <f t="shared" si="20"/>
        <v>12.275</v>
      </c>
      <c r="BC9" s="160">
        <v>12</v>
      </c>
      <c r="BD9" s="185">
        <f t="shared" si="18"/>
        <v>0</v>
      </c>
      <c r="BE9" s="149"/>
      <c r="BF9" s="149"/>
      <c r="BG9" s="149"/>
      <c r="BH9" s="127"/>
      <c r="BJ9" s="181" t="e">
        <f t="shared" si="13"/>
        <v>#DIV/0!</v>
      </c>
      <c r="BK9" s="149"/>
      <c r="BL9" s="149"/>
      <c r="BM9" s="149"/>
      <c r="BN9" s="149"/>
      <c r="BO9" s="127"/>
      <c r="BP9" s="181" t="e">
        <f t="shared" si="14"/>
        <v>#DIV/0!</v>
      </c>
      <c r="BQ9" s="160">
        <v>11</v>
      </c>
      <c r="BR9" s="185">
        <f t="shared" si="19"/>
        <v>0</v>
      </c>
    </row>
    <row r="10" spans="1:70">
      <c r="A10" s="14" t="s">
        <v>100</v>
      </c>
      <c r="B10" s="14" t="s">
        <v>124</v>
      </c>
      <c r="C10" s="101" t="s">
        <v>262</v>
      </c>
      <c r="D10" s="101">
        <v>4</v>
      </c>
      <c r="E10" s="16">
        <v>0.5395833333333333</v>
      </c>
      <c r="F10" s="16">
        <v>0.58561342592592591</v>
      </c>
      <c r="G10" s="16">
        <v>0.66087962962962965</v>
      </c>
      <c r="H10" s="18">
        <f t="shared" si="1"/>
        <v>4.6030092592592609E-2</v>
      </c>
      <c r="I10" s="18">
        <f t="shared" si="2"/>
        <v>2.4594907407407329E-2</v>
      </c>
      <c r="J10" s="18">
        <f t="shared" ref="J10:J26" si="23">G10-E10</f>
        <v>0.12129629629629635</v>
      </c>
      <c r="K10" s="16">
        <v>0.13194444444444445</v>
      </c>
      <c r="L10" s="16"/>
      <c r="M10" s="16"/>
      <c r="N10" s="16"/>
      <c r="O10" s="18">
        <f t="shared" si="4"/>
        <v>0</v>
      </c>
      <c r="P10" s="18">
        <f t="shared" si="5"/>
        <v>0</v>
      </c>
      <c r="Q10" s="18">
        <f t="shared" ref="Q10:Q20" si="24">N10-L10</f>
        <v>0</v>
      </c>
      <c r="R10" s="16">
        <v>0.15972222222222224</v>
      </c>
      <c r="S10" s="37">
        <v>2</v>
      </c>
      <c r="T10" s="37"/>
      <c r="U10" s="37">
        <v>1</v>
      </c>
      <c r="V10" s="37"/>
      <c r="W10" s="19">
        <f t="shared" si="15"/>
        <v>0</v>
      </c>
      <c r="X10" s="19">
        <f t="shared" si="16"/>
        <v>15</v>
      </c>
      <c r="Y10" s="19">
        <f t="shared" si="7"/>
        <v>5</v>
      </c>
      <c r="Z10" s="19">
        <f t="shared" si="8"/>
        <v>5</v>
      </c>
      <c r="AA10" s="37">
        <v>7.5</v>
      </c>
      <c r="AB10" s="37">
        <v>8</v>
      </c>
      <c r="AC10" s="37">
        <v>4</v>
      </c>
      <c r="AD10" s="37">
        <v>0.9</v>
      </c>
      <c r="AE10" s="37">
        <v>1.2</v>
      </c>
      <c r="AF10" s="174">
        <f t="shared" si="9"/>
        <v>2</v>
      </c>
      <c r="AG10" s="37">
        <v>2.6</v>
      </c>
      <c r="AH10" s="37">
        <v>1</v>
      </c>
      <c r="AI10" s="37">
        <v>5.0999999999999996</v>
      </c>
      <c r="AJ10" s="174">
        <f t="shared" si="10"/>
        <v>1</v>
      </c>
      <c r="AK10" s="37">
        <v>2.5</v>
      </c>
      <c r="AL10" s="37"/>
      <c r="AM10" s="49">
        <f t="shared" si="0"/>
        <v>60.800000000000004</v>
      </c>
      <c r="AN10" s="51">
        <f t="shared" si="21"/>
        <v>9</v>
      </c>
      <c r="AP10" s="22">
        <f t="shared" si="22"/>
        <v>11</v>
      </c>
      <c r="AQ10" s="149">
        <v>15.6</v>
      </c>
      <c r="AR10" s="149">
        <v>14</v>
      </c>
      <c r="AS10" s="149">
        <v>14</v>
      </c>
      <c r="AT10" s="149">
        <v>17</v>
      </c>
      <c r="AU10" s="149"/>
      <c r="AV10" s="180">
        <f t="shared" si="17"/>
        <v>15.15</v>
      </c>
      <c r="AW10" s="149">
        <v>16.45</v>
      </c>
      <c r="AX10" s="149">
        <v>14.9</v>
      </c>
      <c r="AY10" s="149">
        <v>14</v>
      </c>
      <c r="AZ10" s="149">
        <v>13.5</v>
      </c>
      <c r="BA10" s="149"/>
      <c r="BB10" s="181">
        <f t="shared" si="20"/>
        <v>14.7125</v>
      </c>
      <c r="BC10" s="160">
        <v>12</v>
      </c>
      <c r="BD10" s="185">
        <f t="shared" si="18"/>
        <v>0</v>
      </c>
      <c r="BE10" s="149"/>
      <c r="BF10" s="149"/>
      <c r="BG10" s="149"/>
      <c r="BH10" s="149"/>
      <c r="BI10" s="149"/>
      <c r="BJ10" s="181" t="e">
        <f t="shared" si="13"/>
        <v>#DIV/0!</v>
      </c>
      <c r="BK10" s="149"/>
      <c r="BL10" s="149"/>
      <c r="BM10" s="149"/>
      <c r="BN10" s="149"/>
      <c r="BO10" s="149"/>
      <c r="BP10" s="181" t="e">
        <f t="shared" si="14"/>
        <v>#DIV/0!</v>
      </c>
      <c r="BQ10" s="160">
        <v>11</v>
      </c>
      <c r="BR10" s="185">
        <f t="shared" si="19"/>
        <v>0</v>
      </c>
    </row>
    <row r="11" spans="1:70">
      <c r="A11" s="14" t="s">
        <v>100</v>
      </c>
      <c r="B11" s="14" t="s">
        <v>230</v>
      </c>
      <c r="C11" s="101" t="s">
        <v>263</v>
      </c>
      <c r="D11" s="101">
        <v>4</v>
      </c>
      <c r="E11" s="46">
        <v>0.54027777777777797</v>
      </c>
      <c r="F11" s="16">
        <v>0.56572916666666673</v>
      </c>
      <c r="G11" s="16">
        <v>0.63315972222222217</v>
      </c>
      <c r="H11" s="18">
        <f t="shared" si="1"/>
        <v>2.545138888888876E-2</v>
      </c>
      <c r="I11" s="18">
        <f t="shared" si="2"/>
        <v>4.0162037037034803E-3</v>
      </c>
      <c r="J11" s="18">
        <f t="shared" si="23"/>
        <v>9.2881944444444198E-2</v>
      </c>
      <c r="K11" s="16">
        <v>0.13194444444444445</v>
      </c>
      <c r="L11" s="16"/>
      <c r="M11" s="16"/>
      <c r="N11" s="16"/>
      <c r="O11" s="18">
        <f t="shared" si="4"/>
        <v>0</v>
      </c>
      <c r="P11" s="18">
        <f t="shared" si="5"/>
        <v>0</v>
      </c>
      <c r="Q11" s="18">
        <f t="shared" si="24"/>
        <v>0</v>
      </c>
      <c r="R11" s="16">
        <v>0.15972222222222224</v>
      </c>
      <c r="S11" s="37">
        <v>3</v>
      </c>
      <c r="T11" s="37"/>
      <c r="U11" s="37">
        <v>1</v>
      </c>
      <c r="V11" s="37"/>
      <c r="W11" s="19">
        <f t="shared" si="15"/>
        <v>12</v>
      </c>
      <c r="X11" s="19">
        <f t="shared" si="16"/>
        <v>15</v>
      </c>
      <c r="Y11" s="19">
        <f t="shared" si="7"/>
        <v>5</v>
      </c>
      <c r="Z11" s="19">
        <f t="shared" si="8"/>
        <v>5</v>
      </c>
      <c r="AA11" s="37">
        <v>6.1</v>
      </c>
      <c r="AB11" s="37">
        <v>7.8</v>
      </c>
      <c r="AC11" s="37">
        <v>1.8</v>
      </c>
      <c r="AD11" s="37">
        <v>3.7</v>
      </c>
      <c r="AE11" s="37">
        <v>2</v>
      </c>
      <c r="AF11" s="174">
        <f t="shared" si="9"/>
        <v>3</v>
      </c>
      <c r="AG11" s="37">
        <v>3.8</v>
      </c>
      <c r="AH11" s="37">
        <v>1.6</v>
      </c>
      <c r="AI11" s="37">
        <v>5.5</v>
      </c>
      <c r="AJ11" s="174">
        <f t="shared" si="10"/>
        <v>1</v>
      </c>
      <c r="AK11" s="37">
        <v>2.5</v>
      </c>
      <c r="AL11" s="37"/>
      <c r="AM11" s="49">
        <f t="shared" si="0"/>
        <v>75.8</v>
      </c>
      <c r="AN11" s="51">
        <f t="shared" si="21"/>
        <v>5</v>
      </c>
      <c r="AO11" s="22" t="s">
        <v>640</v>
      </c>
      <c r="AP11" s="22">
        <f t="shared" si="22"/>
        <v>4</v>
      </c>
      <c r="AQ11" s="149">
        <v>13.45</v>
      </c>
      <c r="AR11" s="149">
        <v>11.8</v>
      </c>
      <c r="AS11" s="149">
        <v>11.35</v>
      </c>
      <c r="AT11" s="149">
        <v>12.5</v>
      </c>
      <c r="AU11" s="149"/>
      <c r="AV11" s="180">
        <f t="shared" si="17"/>
        <v>12.275</v>
      </c>
      <c r="AW11" s="149">
        <v>11.9</v>
      </c>
      <c r="AX11" s="149">
        <v>12</v>
      </c>
      <c r="AY11" s="149">
        <v>12.1</v>
      </c>
      <c r="AZ11" s="149">
        <v>11.75</v>
      </c>
      <c r="BA11" s="81"/>
      <c r="BB11" s="181">
        <f t="shared" si="20"/>
        <v>11.9375</v>
      </c>
      <c r="BC11" s="160">
        <v>12</v>
      </c>
      <c r="BD11" s="185">
        <f t="shared" si="18"/>
        <v>-6.25E-2</v>
      </c>
      <c r="BE11" s="149"/>
      <c r="BF11" s="149"/>
      <c r="BG11" s="149"/>
      <c r="BH11" s="149"/>
      <c r="BI11" s="81"/>
      <c r="BJ11" s="181" t="e">
        <f t="shared" si="13"/>
        <v>#DIV/0!</v>
      </c>
      <c r="BK11" s="149"/>
      <c r="BL11" s="149"/>
      <c r="BM11" s="149"/>
      <c r="BN11" s="149"/>
      <c r="BO11" s="149"/>
      <c r="BP11" s="181" t="e">
        <f t="shared" si="14"/>
        <v>#DIV/0!</v>
      </c>
      <c r="BQ11" s="160">
        <v>11</v>
      </c>
      <c r="BR11" s="185">
        <f t="shared" si="19"/>
        <v>0</v>
      </c>
    </row>
    <row r="12" spans="1:70">
      <c r="A12" s="14" t="s">
        <v>100</v>
      </c>
      <c r="B12" s="14" t="s">
        <v>179</v>
      </c>
      <c r="C12" s="101" t="s">
        <v>264</v>
      </c>
      <c r="D12" s="101">
        <v>3</v>
      </c>
      <c r="E12" s="16">
        <v>0.54097222222222197</v>
      </c>
      <c r="F12" s="16">
        <v>0.58056712962962964</v>
      </c>
      <c r="G12" s="16">
        <v>0.7021412037037037</v>
      </c>
      <c r="H12" s="18">
        <f t="shared" si="1"/>
        <v>3.9594907407407676E-2</v>
      </c>
      <c r="I12" s="18">
        <f t="shared" si="2"/>
        <v>1.8159722222222396E-2</v>
      </c>
      <c r="J12" s="18">
        <f t="shared" si="23"/>
        <v>0.16116898148148173</v>
      </c>
      <c r="K12" s="16">
        <v>0.13194444444444445</v>
      </c>
      <c r="L12" s="16"/>
      <c r="M12" s="16"/>
      <c r="N12" s="16"/>
      <c r="O12" s="18">
        <f t="shared" si="4"/>
        <v>0</v>
      </c>
      <c r="P12" s="18">
        <f t="shared" si="5"/>
        <v>0</v>
      </c>
      <c r="Q12" s="18">
        <f t="shared" si="24"/>
        <v>0</v>
      </c>
      <c r="R12" s="16">
        <v>0.15972222222222224</v>
      </c>
      <c r="S12" s="37">
        <v>3</v>
      </c>
      <c r="T12" s="37"/>
      <c r="U12" s="37">
        <v>0.5</v>
      </c>
      <c r="V12" s="37"/>
      <c r="W12" s="19">
        <f t="shared" si="15"/>
        <v>1.9</v>
      </c>
      <c r="X12" s="19">
        <f t="shared" si="16"/>
        <v>15</v>
      </c>
      <c r="Y12" s="19">
        <f t="shared" si="7"/>
        <v>0</v>
      </c>
      <c r="Z12" s="19">
        <f t="shared" si="8"/>
        <v>5</v>
      </c>
      <c r="AA12" s="37">
        <v>8.3000000000000007</v>
      </c>
      <c r="AB12" s="37">
        <v>6.7</v>
      </c>
      <c r="AC12" s="37">
        <v>3.2</v>
      </c>
      <c r="AD12" s="37">
        <v>1.1000000000000001</v>
      </c>
      <c r="AE12" s="37">
        <v>1.4</v>
      </c>
      <c r="AF12" s="174">
        <f t="shared" si="9"/>
        <v>3</v>
      </c>
      <c r="AG12" s="37">
        <v>2</v>
      </c>
      <c r="AH12" s="37">
        <v>1.4</v>
      </c>
      <c r="AI12" s="37">
        <v>5</v>
      </c>
      <c r="AJ12" s="174">
        <f t="shared" si="10"/>
        <v>0.5</v>
      </c>
      <c r="AK12" s="37">
        <v>3</v>
      </c>
      <c r="AL12" s="37"/>
      <c r="AM12" s="49">
        <f t="shared" si="0"/>
        <v>57.5</v>
      </c>
      <c r="AN12" s="51">
        <f t="shared" si="21"/>
        <v>10</v>
      </c>
      <c r="AP12" s="22">
        <f t="shared" si="22"/>
        <v>10</v>
      </c>
      <c r="AQ12" s="149">
        <v>12.05</v>
      </c>
      <c r="AR12" s="149">
        <v>11.05</v>
      </c>
      <c r="AS12" s="149">
        <v>13.9</v>
      </c>
      <c r="AT12" s="149"/>
      <c r="AU12" s="149"/>
      <c r="AV12" s="180">
        <f t="shared" si="17"/>
        <v>12.333333333333334</v>
      </c>
      <c r="AW12" s="149">
        <v>11.95</v>
      </c>
      <c r="AX12" s="149">
        <v>12</v>
      </c>
      <c r="AY12" s="149">
        <v>14</v>
      </c>
      <c r="AZ12" s="149"/>
      <c r="BA12" s="149"/>
      <c r="BB12" s="181">
        <f t="shared" si="20"/>
        <v>12.65</v>
      </c>
      <c r="BC12" s="160">
        <v>12</v>
      </c>
      <c r="BD12" s="185">
        <f t="shared" si="18"/>
        <v>0</v>
      </c>
      <c r="BE12" s="149"/>
      <c r="BF12" s="149"/>
      <c r="BG12" s="149"/>
      <c r="BH12" s="149"/>
      <c r="BI12" s="149"/>
      <c r="BJ12" s="181" t="e">
        <f t="shared" si="13"/>
        <v>#DIV/0!</v>
      </c>
      <c r="BK12" s="149"/>
      <c r="BL12" s="149"/>
      <c r="BM12" s="149"/>
      <c r="BN12" s="149"/>
      <c r="BO12" s="149"/>
      <c r="BP12" s="181" t="e">
        <f t="shared" si="14"/>
        <v>#DIV/0!</v>
      </c>
      <c r="BQ12" s="160">
        <v>11</v>
      </c>
      <c r="BR12" s="185">
        <f t="shared" si="19"/>
        <v>0</v>
      </c>
    </row>
    <row r="13" spans="1:70">
      <c r="A13" s="14" t="s">
        <v>100</v>
      </c>
      <c r="B13" s="14" t="s">
        <v>101</v>
      </c>
      <c r="C13" s="101" t="s">
        <v>265</v>
      </c>
      <c r="D13" s="101">
        <v>4</v>
      </c>
      <c r="E13" s="46">
        <v>0.54166666666666696</v>
      </c>
      <c r="F13" s="16">
        <v>0.58041666666666669</v>
      </c>
      <c r="G13" s="16">
        <v>0.69062499999999993</v>
      </c>
      <c r="H13" s="18">
        <f t="shared" si="1"/>
        <v>3.8749999999999729E-2</v>
      </c>
      <c r="I13" s="18">
        <f t="shared" si="2"/>
        <v>1.731481481481445E-2</v>
      </c>
      <c r="J13" s="18">
        <f t="shared" si="23"/>
        <v>0.14895833333333297</v>
      </c>
      <c r="K13" s="16">
        <v>0.13194444444444445</v>
      </c>
      <c r="L13" s="16"/>
      <c r="M13" s="16"/>
      <c r="N13" s="16"/>
      <c r="O13" s="18">
        <f t="shared" si="4"/>
        <v>0</v>
      </c>
      <c r="P13" s="18">
        <f t="shared" si="5"/>
        <v>0</v>
      </c>
      <c r="Q13" s="18">
        <f t="shared" si="24"/>
        <v>0</v>
      </c>
      <c r="R13" s="16">
        <v>0.15972222222222224</v>
      </c>
      <c r="S13" s="37">
        <v>2</v>
      </c>
      <c r="T13" s="37"/>
      <c r="U13" s="37">
        <v>1</v>
      </c>
      <c r="V13" s="37"/>
      <c r="W13" s="19">
        <f t="shared" si="15"/>
        <v>2.5</v>
      </c>
      <c r="X13" s="19">
        <f t="shared" si="16"/>
        <v>15</v>
      </c>
      <c r="Y13" s="19">
        <f t="shared" si="7"/>
        <v>0.1</v>
      </c>
      <c r="Z13" s="19">
        <f t="shared" si="8"/>
        <v>5</v>
      </c>
      <c r="AA13" s="37">
        <v>6.7</v>
      </c>
      <c r="AB13" s="37">
        <v>7.3</v>
      </c>
      <c r="AC13" s="37">
        <v>3.2</v>
      </c>
      <c r="AD13" s="37">
        <v>0.3</v>
      </c>
      <c r="AE13" s="37">
        <v>1.8</v>
      </c>
      <c r="AF13" s="174">
        <f t="shared" si="9"/>
        <v>2</v>
      </c>
      <c r="AG13" s="37">
        <v>1.4</v>
      </c>
      <c r="AH13" s="37">
        <v>1.4</v>
      </c>
      <c r="AI13" s="37">
        <v>5.2</v>
      </c>
      <c r="AJ13" s="174">
        <f t="shared" si="10"/>
        <v>1</v>
      </c>
      <c r="AK13" s="37">
        <v>2.5</v>
      </c>
      <c r="AL13" s="37"/>
      <c r="AM13" s="49">
        <f t="shared" si="0"/>
        <v>55.4</v>
      </c>
      <c r="AN13" s="51">
        <f t="shared" si="21"/>
        <v>11</v>
      </c>
      <c r="AP13" s="22">
        <f t="shared" si="22"/>
        <v>9</v>
      </c>
      <c r="AQ13" s="149">
        <v>13.8</v>
      </c>
      <c r="AR13" s="149">
        <v>13.1</v>
      </c>
      <c r="AS13" s="149">
        <v>12.65</v>
      </c>
      <c r="AT13" s="149">
        <v>11.7</v>
      </c>
      <c r="AU13" s="149"/>
      <c r="AV13" s="180">
        <f t="shared" si="17"/>
        <v>12.8125</v>
      </c>
      <c r="AW13" s="149">
        <v>13.4</v>
      </c>
      <c r="AX13" s="149">
        <v>12.8</v>
      </c>
      <c r="AY13" s="149">
        <v>12.45</v>
      </c>
      <c r="AZ13" s="149">
        <v>11.7</v>
      </c>
      <c r="BA13" s="81"/>
      <c r="BB13" s="181">
        <f t="shared" si="20"/>
        <v>12.587500000000002</v>
      </c>
      <c r="BC13" s="160">
        <v>12</v>
      </c>
      <c r="BD13" s="185">
        <f t="shared" si="18"/>
        <v>0</v>
      </c>
      <c r="BE13" s="149"/>
      <c r="BF13" s="149"/>
      <c r="BG13" s="149"/>
      <c r="BH13" s="149"/>
      <c r="BI13" s="81"/>
      <c r="BJ13" s="181" t="e">
        <f t="shared" si="13"/>
        <v>#DIV/0!</v>
      </c>
      <c r="BK13" s="149"/>
      <c r="BL13" s="149"/>
      <c r="BM13" s="149"/>
      <c r="BN13" s="149"/>
      <c r="BO13" s="149"/>
      <c r="BP13" s="181" t="e">
        <f t="shared" si="14"/>
        <v>#DIV/0!</v>
      </c>
      <c r="BQ13" s="160">
        <v>11</v>
      </c>
      <c r="BR13" s="185">
        <f t="shared" si="19"/>
        <v>0</v>
      </c>
    </row>
    <row r="14" spans="1:70" ht="15.75" customHeight="1">
      <c r="A14" s="14" t="s">
        <v>100</v>
      </c>
      <c r="B14" s="14" t="s">
        <v>213</v>
      </c>
      <c r="C14" s="101" t="s">
        <v>266</v>
      </c>
      <c r="D14" s="101">
        <v>5</v>
      </c>
      <c r="E14" s="16">
        <v>0.54236111111111096</v>
      </c>
      <c r="F14" s="16">
        <v>0.59290509259259261</v>
      </c>
      <c r="G14" s="16">
        <v>0.68495370370370379</v>
      </c>
      <c r="H14" s="18">
        <f t="shared" si="1"/>
        <v>5.0543981481481648E-2</v>
      </c>
      <c r="I14" s="18">
        <f t="shared" si="2"/>
        <v>2.9108796296296369E-2</v>
      </c>
      <c r="J14" s="18">
        <f t="shared" si="23"/>
        <v>0.14259259259259283</v>
      </c>
      <c r="K14" s="16">
        <v>0.13194444444444445</v>
      </c>
      <c r="L14" s="16"/>
      <c r="M14" s="16"/>
      <c r="N14" s="16"/>
      <c r="O14" s="18">
        <f t="shared" si="4"/>
        <v>0</v>
      </c>
      <c r="P14" s="18">
        <f t="shared" si="5"/>
        <v>0</v>
      </c>
      <c r="Q14" s="18">
        <f t="shared" si="24"/>
        <v>0</v>
      </c>
      <c r="R14" s="16">
        <v>0.15972222222222224</v>
      </c>
      <c r="S14" s="37">
        <v>0</v>
      </c>
      <c r="T14" s="37"/>
      <c r="U14" s="37">
        <v>0</v>
      </c>
      <c r="V14" s="37"/>
      <c r="W14" s="19">
        <f t="shared" si="15"/>
        <v>0</v>
      </c>
      <c r="X14" s="19">
        <f t="shared" si="16"/>
        <v>15</v>
      </c>
      <c r="Y14" s="19">
        <f t="shared" si="7"/>
        <v>1.9</v>
      </c>
      <c r="Z14" s="19">
        <f t="shared" si="8"/>
        <v>5</v>
      </c>
      <c r="AA14" s="37">
        <v>4.9000000000000004</v>
      </c>
      <c r="AB14" s="37">
        <v>6.9</v>
      </c>
      <c r="AC14" s="37">
        <v>4</v>
      </c>
      <c r="AD14" s="37">
        <v>0</v>
      </c>
      <c r="AE14" s="37">
        <v>1.6</v>
      </c>
      <c r="AF14" s="174">
        <f t="shared" si="9"/>
        <v>0</v>
      </c>
      <c r="AG14" s="37">
        <v>1.4</v>
      </c>
      <c r="AH14" s="37">
        <v>1.2</v>
      </c>
      <c r="AI14" s="37">
        <v>4.2</v>
      </c>
      <c r="AJ14" s="174">
        <f t="shared" si="10"/>
        <v>0</v>
      </c>
      <c r="AK14" s="37">
        <v>2.5</v>
      </c>
      <c r="AL14" s="37"/>
      <c r="AM14" s="49">
        <f t="shared" si="0"/>
        <v>48.6</v>
      </c>
      <c r="AN14" s="51">
        <f t="shared" si="21"/>
        <v>12</v>
      </c>
      <c r="AP14" s="22">
        <f t="shared" si="22"/>
        <v>12</v>
      </c>
      <c r="AQ14" s="149">
        <v>19.649999999999999</v>
      </c>
      <c r="AR14" s="149">
        <v>15.65</v>
      </c>
      <c r="AS14" s="149">
        <v>16.100000000000001</v>
      </c>
      <c r="AT14" s="149">
        <v>17.55</v>
      </c>
      <c r="AU14" s="149">
        <v>13.8</v>
      </c>
      <c r="AV14" s="180">
        <f t="shared" si="17"/>
        <v>16.55</v>
      </c>
      <c r="AW14" s="149">
        <v>19</v>
      </c>
      <c r="AX14" s="149">
        <v>14.8</v>
      </c>
      <c r="AY14" s="149">
        <v>15.4</v>
      </c>
      <c r="AZ14" s="149">
        <v>16.850000000000001</v>
      </c>
      <c r="BA14" s="149">
        <v>13</v>
      </c>
      <c r="BB14" s="181">
        <f t="shared" si="20"/>
        <v>15.809999999999999</v>
      </c>
      <c r="BC14" s="160">
        <v>12</v>
      </c>
      <c r="BD14" s="185">
        <f t="shared" si="18"/>
        <v>0</v>
      </c>
      <c r="BE14" s="149"/>
      <c r="BF14" s="149"/>
      <c r="BG14" s="149"/>
      <c r="BH14" s="149"/>
      <c r="BI14" s="81"/>
      <c r="BJ14" s="181" t="e">
        <f t="shared" si="13"/>
        <v>#DIV/0!</v>
      </c>
      <c r="BK14" s="149"/>
      <c r="BL14" s="149"/>
      <c r="BM14" s="149"/>
      <c r="BN14" s="149"/>
      <c r="BO14" s="149"/>
      <c r="BP14" s="181" t="e">
        <f t="shared" si="14"/>
        <v>#DIV/0!</v>
      </c>
      <c r="BQ14" s="160">
        <v>11</v>
      </c>
      <c r="BR14" s="185">
        <f t="shared" si="19"/>
        <v>0</v>
      </c>
    </row>
    <row r="15" spans="1:70">
      <c r="A15" s="14" t="s">
        <v>100</v>
      </c>
      <c r="B15" s="14" t="s">
        <v>184</v>
      </c>
      <c r="C15" s="101" t="s">
        <v>267</v>
      </c>
      <c r="D15" s="101">
        <v>4</v>
      </c>
      <c r="E15" s="46">
        <v>0.54305555555555596</v>
      </c>
      <c r="F15" s="16">
        <v>0.56827546296296294</v>
      </c>
      <c r="G15" s="16">
        <v>0.66261574074074081</v>
      </c>
      <c r="H15" s="18">
        <f t="shared" si="1"/>
        <v>2.5219907407406983E-2</v>
      </c>
      <c r="I15" s="18">
        <f t="shared" si="2"/>
        <v>3.7847222222217036E-3</v>
      </c>
      <c r="J15" s="18">
        <f t="shared" si="23"/>
        <v>0.11956018518518485</v>
      </c>
      <c r="K15" s="16">
        <v>0.13194444444444445</v>
      </c>
      <c r="L15" s="16"/>
      <c r="M15" s="16"/>
      <c r="N15" s="16"/>
      <c r="O15" s="18">
        <f t="shared" si="4"/>
        <v>0</v>
      </c>
      <c r="P15" s="18">
        <f t="shared" si="5"/>
        <v>0</v>
      </c>
      <c r="Q15" s="18">
        <f t="shared" si="24"/>
        <v>0</v>
      </c>
      <c r="R15" s="16">
        <v>0.15972222222222224</v>
      </c>
      <c r="S15" s="37">
        <v>4</v>
      </c>
      <c r="T15" s="37"/>
      <c r="U15" s="37">
        <v>1</v>
      </c>
      <c r="V15" s="37"/>
      <c r="W15" s="19">
        <f t="shared" si="15"/>
        <v>12.3</v>
      </c>
      <c r="X15" s="19">
        <f t="shared" si="16"/>
        <v>15</v>
      </c>
      <c r="Y15" s="19">
        <f t="shared" si="7"/>
        <v>5</v>
      </c>
      <c r="Z15" s="19">
        <f t="shared" si="8"/>
        <v>5</v>
      </c>
      <c r="AA15" s="37">
        <v>10</v>
      </c>
      <c r="AB15" s="37">
        <v>8</v>
      </c>
      <c r="AC15" s="37">
        <v>4</v>
      </c>
      <c r="AD15" s="37">
        <v>4.9000000000000004</v>
      </c>
      <c r="AE15" s="37">
        <v>1.6</v>
      </c>
      <c r="AF15" s="174">
        <f t="shared" si="9"/>
        <v>4</v>
      </c>
      <c r="AG15" s="37">
        <v>3.4</v>
      </c>
      <c r="AH15" s="37">
        <v>1.6</v>
      </c>
      <c r="AI15" s="37">
        <v>6</v>
      </c>
      <c r="AJ15" s="174">
        <f t="shared" si="10"/>
        <v>1</v>
      </c>
      <c r="AK15" s="37">
        <v>3</v>
      </c>
      <c r="AL15" s="37"/>
      <c r="AM15" s="49">
        <f t="shared" si="0"/>
        <v>84.8</v>
      </c>
      <c r="AN15" s="51">
        <f t="shared" si="21"/>
        <v>2</v>
      </c>
      <c r="AP15" s="22">
        <f t="shared" si="22"/>
        <v>2</v>
      </c>
      <c r="AQ15" s="149">
        <v>11.95</v>
      </c>
      <c r="AR15" s="149">
        <v>11.95</v>
      </c>
      <c r="AS15" s="149">
        <v>13.15</v>
      </c>
      <c r="AT15" s="149">
        <v>12</v>
      </c>
      <c r="AU15" s="149"/>
      <c r="AV15" s="180">
        <f t="shared" si="17"/>
        <v>12.262499999999999</v>
      </c>
      <c r="AW15" s="149">
        <v>11.9</v>
      </c>
      <c r="AX15" s="149">
        <v>12</v>
      </c>
      <c r="AY15" s="149">
        <v>13.2</v>
      </c>
      <c r="AZ15" s="149">
        <v>11.8</v>
      </c>
      <c r="BA15" s="81"/>
      <c r="BB15" s="181">
        <f t="shared" si="20"/>
        <v>12.224999999999998</v>
      </c>
      <c r="BC15" s="160">
        <v>12</v>
      </c>
      <c r="BD15" s="185">
        <f t="shared" si="18"/>
        <v>0</v>
      </c>
      <c r="BE15" s="149"/>
      <c r="BF15" s="149"/>
      <c r="BG15" s="149"/>
      <c r="BH15" s="149"/>
      <c r="BI15" s="81"/>
      <c r="BJ15" s="181" t="e">
        <f t="shared" si="13"/>
        <v>#DIV/0!</v>
      </c>
      <c r="BK15" s="149"/>
      <c r="BL15" s="149"/>
      <c r="BM15" s="149"/>
      <c r="BN15" s="149"/>
      <c r="BO15" s="149"/>
      <c r="BP15" s="181" t="e">
        <f t="shared" si="14"/>
        <v>#DIV/0!</v>
      </c>
      <c r="BQ15" s="160">
        <v>11</v>
      </c>
      <c r="BR15" s="185">
        <f t="shared" si="19"/>
        <v>0</v>
      </c>
    </row>
    <row r="16" spans="1:70">
      <c r="A16" s="14" t="s">
        <v>100</v>
      </c>
      <c r="B16" s="14" t="s">
        <v>208</v>
      </c>
      <c r="C16" s="101" t="s">
        <v>268</v>
      </c>
      <c r="D16" s="101">
        <v>4</v>
      </c>
      <c r="E16" s="16">
        <v>0.54374999999999996</v>
      </c>
      <c r="F16" s="16">
        <v>0.57261574074074073</v>
      </c>
      <c r="G16" s="16">
        <v>0.65734953703703702</v>
      </c>
      <c r="H16" s="18">
        <f t="shared" si="1"/>
        <v>2.8865740740740775E-2</v>
      </c>
      <c r="I16" s="18">
        <f t="shared" si="2"/>
        <v>7.4305555555554959E-3</v>
      </c>
      <c r="J16" s="18">
        <f t="shared" si="23"/>
        <v>0.11359953703703707</v>
      </c>
      <c r="K16" s="16">
        <v>0.13194444444444445</v>
      </c>
      <c r="L16" s="16"/>
      <c r="M16" s="16"/>
      <c r="N16" s="16"/>
      <c r="O16" s="18">
        <f t="shared" si="4"/>
        <v>0</v>
      </c>
      <c r="P16" s="18">
        <f t="shared" si="5"/>
        <v>0</v>
      </c>
      <c r="Q16" s="18">
        <f t="shared" si="24"/>
        <v>0</v>
      </c>
      <c r="R16" s="16">
        <v>0.15972222222222224</v>
      </c>
      <c r="S16" s="37">
        <v>1.5</v>
      </c>
      <c r="T16" s="37"/>
      <c r="U16" s="37">
        <v>1</v>
      </c>
      <c r="V16" s="37"/>
      <c r="W16" s="19">
        <f t="shared" si="15"/>
        <v>9.6999999999999993</v>
      </c>
      <c r="X16" s="19">
        <f t="shared" si="16"/>
        <v>15</v>
      </c>
      <c r="Y16" s="19">
        <f t="shared" si="7"/>
        <v>5</v>
      </c>
      <c r="Z16" s="19">
        <f t="shared" si="8"/>
        <v>5</v>
      </c>
      <c r="AA16" s="37">
        <v>8.1</v>
      </c>
      <c r="AB16" s="37">
        <v>7.8</v>
      </c>
      <c r="AC16" s="37">
        <v>3</v>
      </c>
      <c r="AD16" s="37">
        <v>2.2999999999999998</v>
      </c>
      <c r="AE16" s="37">
        <v>2</v>
      </c>
      <c r="AF16" s="174">
        <f t="shared" si="9"/>
        <v>1.5</v>
      </c>
      <c r="AG16" s="37">
        <v>2.4</v>
      </c>
      <c r="AH16" s="37">
        <v>1.8</v>
      </c>
      <c r="AI16" s="37">
        <v>5</v>
      </c>
      <c r="AJ16" s="174">
        <f t="shared" si="10"/>
        <v>1</v>
      </c>
      <c r="AK16" s="37">
        <v>3</v>
      </c>
      <c r="AL16" s="37"/>
      <c r="AM16" s="49">
        <f t="shared" si="0"/>
        <v>72.599999999999994</v>
      </c>
      <c r="AN16" s="51">
        <f t="shared" si="21"/>
        <v>7</v>
      </c>
      <c r="AP16" s="22">
        <f t="shared" si="22"/>
        <v>6</v>
      </c>
      <c r="AQ16" s="149">
        <v>13.4</v>
      </c>
      <c r="AR16" s="149">
        <v>14.25</v>
      </c>
      <c r="AS16" s="149">
        <v>13.35</v>
      </c>
      <c r="AT16" s="149">
        <v>13.3</v>
      </c>
      <c r="AU16" s="149"/>
      <c r="AV16" s="180">
        <f t="shared" si="17"/>
        <v>13.574999999999999</v>
      </c>
      <c r="AW16" s="149">
        <v>13.95</v>
      </c>
      <c r="AX16" s="149">
        <v>13.05</v>
      </c>
      <c r="AY16" s="149">
        <v>13</v>
      </c>
      <c r="AZ16" s="149">
        <v>13.1</v>
      </c>
      <c r="BA16" s="81"/>
      <c r="BB16" s="181">
        <f t="shared" si="20"/>
        <v>13.275</v>
      </c>
      <c r="BC16" s="160">
        <v>12</v>
      </c>
      <c r="BD16" s="185">
        <f t="shared" si="18"/>
        <v>0</v>
      </c>
      <c r="BE16" s="149"/>
      <c r="BF16" s="149"/>
      <c r="BG16" s="149"/>
      <c r="BH16" s="149"/>
      <c r="BI16" s="81"/>
      <c r="BJ16" s="181" t="e">
        <f t="shared" si="13"/>
        <v>#DIV/0!</v>
      </c>
      <c r="BK16" s="149"/>
      <c r="BL16" s="149"/>
      <c r="BM16" s="149"/>
      <c r="BN16" s="149"/>
      <c r="BO16" s="149"/>
      <c r="BP16" s="181" t="e">
        <f t="shared" si="14"/>
        <v>#DIV/0!</v>
      </c>
      <c r="BQ16" s="160">
        <v>11</v>
      </c>
      <c r="BR16" s="185">
        <f t="shared" si="19"/>
        <v>0</v>
      </c>
    </row>
    <row r="17" spans="1:70">
      <c r="A17" s="14" t="s">
        <v>100</v>
      </c>
      <c r="B17" s="44" t="s">
        <v>590</v>
      </c>
      <c r="C17" s="101" t="s">
        <v>610</v>
      </c>
      <c r="D17" s="101">
        <v>3</v>
      </c>
      <c r="E17" s="46">
        <v>0.54444444444444395</v>
      </c>
      <c r="F17" s="16">
        <v>0.57712962962962966</v>
      </c>
      <c r="G17" s="16">
        <v>0.65665509259259258</v>
      </c>
      <c r="H17" s="18">
        <f t="shared" si="1"/>
        <v>3.2685185185185706E-2</v>
      </c>
      <c r="I17" s="18">
        <f t="shared" si="2"/>
        <v>1.1250000000000426E-2</v>
      </c>
      <c r="J17" s="18">
        <f t="shared" si="23"/>
        <v>0.11221064814814863</v>
      </c>
      <c r="K17" s="16">
        <v>0.13194444444444445</v>
      </c>
      <c r="L17" s="16"/>
      <c r="M17" s="16"/>
      <c r="N17" s="16"/>
      <c r="O17" s="18">
        <f t="shared" si="4"/>
        <v>0</v>
      </c>
      <c r="P17" s="18">
        <f t="shared" si="5"/>
        <v>0</v>
      </c>
      <c r="Q17" s="18">
        <f t="shared" si="24"/>
        <v>0</v>
      </c>
      <c r="R17" s="16">
        <v>0.15972222222222224</v>
      </c>
      <c r="S17" s="37">
        <v>1</v>
      </c>
      <c r="T17" s="37"/>
      <c r="U17" s="37">
        <v>1</v>
      </c>
      <c r="V17" s="37"/>
      <c r="W17" s="19">
        <f t="shared" si="15"/>
        <v>6.7</v>
      </c>
      <c r="X17" s="19">
        <f t="shared" si="16"/>
        <v>15</v>
      </c>
      <c r="Y17" s="19">
        <f t="shared" si="7"/>
        <v>5</v>
      </c>
      <c r="Z17" s="19">
        <f t="shared" si="8"/>
        <v>5</v>
      </c>
      <c r="AA17" s="37">
        <v>8.6</v>
      </c>
      <c r="AB17" s="37">
        <v>8</v>
      </c>
      <c r="AC17" s="37">
        <v>3.2</v>
      </c>
      <c r="AD17" s="37">
        <v>0.2</v>
      </c>
      <c r="AE17" s="37">
        <v>1.6</v>
      </c>
      <c r="AF17" s="174">
        <f t="shared" si="9"/>
        <v>1</v>
      </c>
      <c r="AG17" s="37">
        <v>0.8</v>
      </c>
      <c r="AH17" s="37">
        <v>1.2</v>
      </c>
      <c r="AI17" s="37">
        <v>5.3</v>
      </c>
      <c r="AJ17" s="174">
        <f t="shared" si="10"/>
        <v>1</v>
      </c>
      <c r="AK17" s="37">
        <v>2.5</v>
      </c>
      <c r="AL17" s="37"/>
      <c r="AM17" s="49">
        <f t="shared" si="0"/>
        <v>65.099999999999994</v>
      </c>
      <c r="AN17" s="51">
        <f t="shared" si="21"/>
        <v>8</v>
      </c>
      <c r="AO17" s="22" t="s">
        <v>652</v>
      </c>
      <c r="AP17" s="22">
        <f t="shared" si="22"/>
        <v>8</v>
      </c>
      <c r="AQ17" s="149">
        <v>12.75</v>
      </c>
      <c r="AR17" s="149">
        <v>11.75</v>
      </c>
      <c r="AS17" s="149">
        <v>12.6</v>
      </c>
      <c r="AT17" s="149"/>
      <c r="AU17" s="149"/>
      <c r="AV17" s="180">
        <f t="shared" si="17"/>
        <v>12.366666666666667</v>
      </c>
      <c r="AW17" s="149">
        <v>12.4</v>
      </c>
      <c r="AX17" s="149">
        <v>11.95</v>
      </c>
      <c r="AY17" s="149">
        <v>11.05</v>
      </c>
      <c r="AZ17" s="149"/>
      <c r="BA17" s="81"/>
      <c r="BB17" s="181">
        <f t="shared" si="20"/>
        <v>11.800000000000002</v>
      </c>
      <c r="BC17" s="160">
        <v>12</v>
      </c>
      <c r="BD17" s="185">
        <f t="shared" si="18"/>
        <v>-0.19999999999999751</v>
      </c>
      <c r="BE17" s="149"/>
      <c r="BF17" s="149"/>
      <c r="BG17" s="149"/>
      <c r="BH17" s="149"/>
      <c r="BI17" s="81"/>
      <c r="BJ17" s="181" t="e">
        <f t="shared" si="13"/>
        <v>#DIV/0!</v>
      </c>
      <c r="BK17" s="149"/>
      <c r="BL17" s="149"/>
      <c r="BM17" s="149"/>
      <c r="BN17" s="149"/>
      <c r="BO17" s="149"/>
      <c r="BP17" s="181" t="e">
        <f t="shared" si="14"/>
        <v>#DIV/0!</v>
      </c>
      <c r="BQ17" s="160">
        <v>11</v>
      </c>
      <c r="BR17" s="185">
        <f t="shared" si="19"/>
        <v>0</v>
      </c>
    </row>
    <row r="18" spans="1:70">
      <c r="A18" s="14" t="s">
        <v>100</v>
      </c>
      <c r="B18" s="14" t="s">
        <v>209</v>
      </c>
      <c r="C18" s="101" t="s">
        <v>626</v>
      </c>
      <c r="D18" s="101">
        <v>4</v>
      </c>
      <c r="E18" s="16">
        <v>0.54513888888888895</v>
      </c>
      <c r="F18" s="16">
        <v>0.57042824074074072</v>
      </c>
      <c r="G18" s="16">
        <v>0.66099537037037037</v>
      </c>
      <c r="H18" s="18">
        <f t="shared" si="1"/>
        <v>2.5289351851851771E-2</v>
      </c>
      <c r="I18" s="18">
        <f t="shared" si="2"/>
        <v>3.854166666666492E-3</v>
      </c>
      <c r="J18" s="18">
        <f t="shared" si="23"/>
        <v>0.11585648148148142</v>
      </c>
      <c r="K18" s="16">
        <v>0.13194444444444445</v>
      </c>
      <c r="L18" s="16"/>
      <c r="M18" s="16"/>
      <c r="N18" s="16"/>
      <c r="O18" s="18">
        <f t="shared" si="4"/>
        <v>0</v>
      </c>
      <c r="P18" s="18">
        <f t="shared" si="5"/>
        <v>0</v>
      </c>
      <c r="Q18" s="18">
        <f t="shared" si="24"/>
        <v>0</v>
      </c>
      <c r="R18" s="16">
        <v>0.15972222222222224</v>
      </c>
      <c r="S18" s="37">
        <v>4</v>
      </c>
      <c r="T18" s="37"/>
      <c r="U18" s="37">
        <v>1</v>
      </c>
      <c r="V18" s="37"/>
      <c r="W18" s="19">
        <f t="shared" si="15"/>
        <v>12.2</v>
      </c>
      <c r="X18" s="19">
        <f t="shared" si="16"/>
        <v>15</v>
      </c>
      <c r="Y18" s="19">
        <f t="shared" si="7"/>
        <v>5</v>
      </c>
      <c r="Z18" s="19">
        <f t="shared" si="8"/>
        <v>5</v>
      </c>
      <c r="AA18" s="37">
        <v>9.5</v>
      </c>
      <c r="AB18" s="37">
        <v>8</v>
      </c>
      <c r="AC18" s="37">
        <v>4</v>
      </c>
      <c r="AD18" s="37">
        <v>4.3</v>
      </c>
      <c r="AE18" s="37">
        <v>1.4</v>
      </c>
      <c r="AF18" s="174">
        <f t="shared" si="9"/>
        <v>4</v>
      </c>
      <c r="AG18" s="37">
        <v>3.6</v>
      </c>
      <c r="AH18" s="37">
        <v>1.8</v>
      </c>
      <c r="AI18" s="37">
        <v>6</v>
      </c>
      <c r="AJ18" s="174">
        <f t="shared" si="10"/>
        <v>1</v>
      </c>
      <c r="AK18" s="37">
        <v>3</v>
      </c>
      <c r="AL18" s="37"/>
      <c r="AM18" s="49">
        <f t="shared" si="0"/>
        <v>83.8</v>
      </c>
      <c r="AN18" s="51">
        <f t="shared" si="21"/>
        <v>3</v>
      </c>
      <c r="AP18" s="22">
        <f t="shared" si="22"/>
        <v>3</v>
      </c>
      <c r="AQ18" s="149">
        <v>12.05</v>
      </c>
      <c r="AR18" s="149">
        <v>12.6</v>
      </c>
      <c r="AS18" s="149">
        <v>11.6</v>
      </c>
      <c r="AT18" s="149">
        <v>12.75</v>
      </c>
      <c r="AU18" s="149"/>
      <c r="AV18" s="180">
        <f t="shared" si="17"/>
        <v>12.25</v>
      </c>
      <c r="AW18" s="149">
        <v>12.1</v>
      </c>
      <c r="AX18" s="149">
        <v>12.6</v>
      </c>
      <c r="AY18" s="149">
        <v>11.4</v>
      </c>
      <c r="AZ18" s="149">
        <v>12.7</v>
      </c>
      <c r="BA18" s="81"/>
      <c r="BB18" s="181">
        <f t="shared" si="20"/>
        <v>12.2</v>
      </c>
      <c r="BC18" s="160">
        <v>12</v>
      </c>
      <c r="BD18" s="185">
        <f t="shared" si="18"/>
        <v>0</v>
      </c>
      <c r="BE18" s="149"/>
      <c r="BF18" s="149"/>
      <c r="BG18" s="149"/>
      <c r="BH18" s="149"/>
      <c r="BI18" s="81"/>
      <c r="BJ18" s="181" t="e">
        <f t="shared" si="13"/>
        <v>#DIV/0!</v>
      </c>
      <c r="BK18" s="149"/>
      <c r="BL18" s="149"/>
      <c r="BM18" s="149"/>
      <c r="BN18" s="149"/>
      <c r="BO18" s="149"/>
      <c r="BP18" s="181" t="e">
        <f t="shared" si="14"/>
        <v>#DIV/0!</v>
      </c>
      <c r="BQ18" s="160">
        <v>11</v>
      </c>
      <c r="BR18" s="185">
        <f t="shared" si="19"/>
        <v>0</v>
      </c>
    </row>
    <row r="19" spans="1:70">
      <c r="A19" s="14" t="s">
        <v>100</v>
      </c>
      <c r="B19" s="14" t="s">
        <v>210</v>
      </c>
      <c r="C19" s="101" t="s">
        <v>627</v>
      </c>
      <c r="D19" s="101">
        <v>3</v>
      </c>
      <c r="E19" s="46">
        <v>0.54583333333333295</v>
      </c>
      <c r="F19" s="16">
        <v>0.57600694444444445</v>
      </c>
      <c r="G19" s="16">
        <v>0.6592824074074074</v>
      </c>
      <c r="H19" s="18">
        <f t="shared" si="1"/>
        <v>3.0173611111111498E-2</v>
      </c>
      <c r="I19" s="18">
        <f t="shared" si="2"/>
        <v>8.7384259259262187E-3</v>
      </c>
      <c r="J19" s="18">
        <f t="shared" si="23"/>
        <v>0.11344907407407445</v>
      </c>
      <c r="K19" s="16">
        <v>0.13194444444444445</v>
      </c>
      <c r="L19" s="16"/>
      <c r="M19" s="16"/>
      <c r="N19" s="16"/>
      <c r="O19" s="18">
        <f t="shared" si="4"/>
        <v>0</v>
      </c>
      <c r="P19" s="18">
        <f t="shared" si="5"/>
        <v>0</v>
      </c>
      <c r="Q19" s="18">
        <f t="shared" si="24"/>
        <v>0</v>
      </c>
      <c r="R19" s="16">
        <v>0.15972222222222224</v>
      </c>
      <c r="S19" s="37">
        <v>2</v>
      </c>
      <c r="T19" s="37"/>
      <c r="U19" s="37">
        <v>1</v>
      </c>
      <c r="V19" s="37"/>
      <c r="W19" s="19">
        <f t="shared" si="15"/>
        <v>8.6999999999999993</v>
      </c>
      <c r="X19" s="19">
        <f t="shared" si="16"/>
        <v>15</v>
      </c>
      <c r="Y19" s="19">
        <f t="shared" si="7"/>
        <v>5</v>
      </c>
      <c r="Z19" s="19">
        <f t="shared" si="8"/>
        <v>5</v>
      </c>
      <c r="AA19" s="37">
        <v>9.5</v>
      </c>
      <c r="AB19" s="37">
        <v>7.8</v>
      </c>
      <c r="AC19" s="37">
        <v>4</v>
      </c>
      <c r="AD19" s="37">
        <v>1.8</v>
      </c>
      <c r="AE19" s="37">
        <v>2</v>
      </c>
      <c r="AF19" s="174">
        <f t="shared" si="9"/>
        <v>2</v>
      </c>
      <c r="AG19" s="37">
        <v>2.4</v>
      </c>
      <c r="AH19" s="37">
        <v>1.8</v>
      </c>
      <c r="AI19" s="37">
        <v>5.9</v>
      </c>
      <c r="AJ19" s="174">
        <f t="shared" si="10"/>
        <v>1</v>
      </c>
      <c r="AK19" s="37">
        <v>3</v>
      </c>
      <c r="AL19" s="37"/>
      <c r="AM19" s="49">
        <f t="shared" si="0"/>
        <v>74.900000000000006</v>
      </c>
      <c r="AN19" s="51">
        <f t="shared" si="21"/>
        <v>6</v>
      </c>
      <c r="AP19" s="22">
        <f t="shared" si="22"/>
        <v>7</v>
      </c>
      <c r="AQ19" s="149">
        <v>13.05</v>
      </c>
      <c r="AR19" s="149">
        <v>13.6</v>
      </c>
      <c r="AS19" s="149">
        <v>13.45</v>
      </c>
      <c r="AT19" s="149"/>
      <c r="AU19" s="127"/>
      <c r="AV19" s="180">
        <f t="shared" si="17"/>
        <v>13.366666666666665</v>
      </c>
      <c r="AW19" s="149">
        <v>13.6</v>
      </c>
      <c r="AX19" s="149">
        <v>13.1</v>
      </c>
      <c r="AY19" s="149">
        <v>13.65</v>
      </c>
      <c r="AZ19" s="149"/>
      <c r="BB19" s="181">
        <f t="shared" si="20"/>
        <v>13.450000000000001</v>
      </c>
      <c r="BC19" s="160">
        <v>12</v>
      </c>
      <c r="BD19" s="185">
        <f t="shared" si="18"/>
        <v>0</v>
      </c>
      <c r="BE19" s="149"/>
      <c r="BF19" s="149"/>
      <c r="BG19" s="149"/>
      <c r="BH19" s="149"/>
      <c r="BJ19" s="181" t="e">
        <f t="shared" si="13"/>
        <v>#DIV/0!</v>
      </c>
      <c r="BK19" s="149"/>
      <c r="BL19" s="149"/>
      <c r="BM19" s="149"/>
      <c r="BN19" s="127"/>
      <c r="BO19" s="127"/>
      <c r="BP19" s="181" t="e">
        <f t="shared" si="14"/>
        <v>#DIV/0!</v>
      </c>
      <c r="BQ19" s="160">
        <v>11</v>
      </c>
      <c r="BR19" s="185">
        <f t="shared" si="19"/>
        <v>0</v>
      </c>
    </row>
    <row r="20" spans="1:70" ht="14.25" thickBot="1">
      <c r="A20" s="62" t="s">
        <v>100</v>
      </c>
      <c r="B20" s="62" t="s">
        <v>631</v>
      </c>
      <c r="C20" s="110" t="s">
        <v>628</v>
      </c>
      <c r="D20" s="110">
        <v>4</v>
      </c>
      <c r="E20" s="64">
        <v>0.54652777777777795</v>
      </c>
      <c r="F20" s="64">
        <v>0.57459490740740737</v>
      </c>
      <c r="G20" s="64">
        <v>0.65833333333333333</v>
      </c>
      <c r="H20" s="66">
        <f t="shared" si="1"/>
        <v>2.8067129629629428E-2</v>
      </c>
      <c r="I20" s="66">
        <f t="shared" si="2"/>
        <v>6.6319444444441489E-3</v>
      </c>
      <c r="J20" s="66">
        <f t="shared" si="23"/>
        <v>0.11180555555555538</v>
      </c>
      <c r="K20" s="64">
        <v>0.13194444444444445</v>
      </c>
      <c r="L20" s="64"/>
      <c r="M20" s="64"/>
      <c r="N20" s="64"/>
      <c r="O20" s="66">
        <f t="shared" si="4"/>
        <v>0</v>
      </c>
      <c r="P20" s="66">
        <f t="shared" si="5"/>
        <v>0</v>
      </c>
      <c r="Q20" s="66">
        <f t="shared" si="24"/>
        <v>0</v>
      </c>
      <c r="R20" s="64">
        <v>0.15972222222222224</v>
      </c>
      <c r="S20" s="68">
        <v>4</v>
      </c>
      <c r="T20" s="68"/>
      <c r="U20" s="68">
        <v>1</v>
      </c>
      <c r="V20" s="68"/>
      <c r="W20" s="67">
        <f t="shared" si="15"/>
        <v>10.199999999999999</v>
      </c>
      <c r="X20" s="67">
        <f t="shared" si="16"/>
        <v>15</v>
      </c>
      <c r="Y20" s="67">
        <f t="shared" si="7"/>
        <v>5</v>
      </c>
      <c r="Z20" s="67">
        <f t="shared" si="8"/>
        <v>5</v>
      </c>
      <c r="AA20" s="68">
        <v>9.6999999999999993</v>
      </c>
      <c r="AB20" s="68">
        <v>8</v>
      </c>
      <c r="AC20" s="68">
        <v>4</v>
      </c>
      <c r="AD20" s="68">
        <v>4.7</v>
      </c>
      <c r="AE20" s="68">
        <v>2</v>
      </c>
      <c r="AF20" s="175">
        <f t="shared" si="9"/>
        <v>4</v>
      </c>
      <c r="AG20" s="68">
        <v>3.6</v>
      </c>
      <c r="AH20" s="68">
        <v>2</v>
      </c>
      <c r="AI20" s="68">
        <v>6</v>
      </c>
      <c r="AJ20" s="175">
        <f t="shared" si="10"/>
        <v>1</v>
      </c>
      <c r="AK20" s="68">
        <v>2.5</v>
      </c>
      <c r="AL20" s="68"/>
      <c r="AM20" s="67">
        <f t="shared" si="0"/>
        <v>82.7</v>
      </c>
      <c r="AN20" s="111">
        <f t="shared" si="21"/>
        <v>4</v>
      </c>
      <c r="AP20" s="22">
        <f t="shared" si="22"/>
        <v>5</v>
      </c>
      <c r="AQ20" s="149">
        <v>14.45</v>
      </c>
      <c r="AR20" s="149">
        <v>9.3000000000000007</v>
      </c>
      <c r="AS20" s="149">
        <v>13.1</v>
      </c>
      <c r="AT20" s="149">
        <v>11.2</v>
      </c>
      <c r="AU20" s="149">
        <v>12.95</v>
      </c>
      <c r="AV20" s="180">
        <f t="shared" si="17"/>
        <v>12.2</v>
      </c>
      <c r="AW20" s="149">
        <v>14.5</v>
      </c>
      <c r="AX20" s="149">
        <v>9.3000000000000007</v>
      </c>
      <c r="AY20" s="149">
        <v>13.15</v>
      </c>
      <c r="AZ20" s="149">
        <v>11.25</v>
      </c>
      <c r="BA20" s="149"/>
      <c r="BB20" s="181">
        <f t="shared" si="20"/>
        <v>12.05</v>
      </c>
      <c r="BC20" s="160">
        <v>12</v>
      </c>
      <c r="BD20" s="185">
        <f t="shared" si="18"/>
        <v>0</v>
      </c>
      <c r="BE20" s="149"/>
      <c r="BF20" s="149"/>
      <c r="BG20" s="149"/>
      <c r="BH20" s="149"/>
      <c r="BI20" s="149"/>
      <c r="BJ20" s="181" t="e">
        <f t="shared" si="13"/>
        <v>#DIV/0!</v>
      </c>
      <c r="BK20" s="149"/>
      <c r="BL20" s="149"/>
      <c r="BM20" s="149"/>
      <c r="BN20" s="149"/>
      <c r="BO20" s="149"/>
      <c r="BP20" s="181" t="e">
        <f t="shared" si="14"/>
        <v>#DIV/0!</v>
      </c>
      <c r="BQ20" s="160">
        <v>11</v>
      </c>
      <c r="BR20" s="185">
        <f t="shared" si="19"/>
        <v>0</v>
      </c>
    </row>
    <row r="21" spans="1:70">
      <c r="A21" s="44" t="s">
        <v>102</v>
      </c>
      <c r="B21" s="44" t="s">
        <v>179</v>
      </c>
      <c r="C21" s="107" t="s">
        <v>277</v>
      </c>
      <c r="D21" s="107">
        <v>4</v>
      </c>
      <c r="E21" s="46">
        <v>0.54722222222222205</v>
      </c>
      <c r="F21" s="46">
        <v>0.60703703703703704</v>
      </c>
      <c r="G21" s="46">
        <v>0.70231481481481473</v>
      </c>
      <c r="H21" s="48">
        <f t="shared" si="1"/>
        <v>5.9814814814814987E-2</v>
      </c>
      <c r="I21" s="48">
        <f t="shared" ref="I21:I26" si="25">H21-MIN(H$21:H$26)</f>
        <v>2.1898148148148722E-2</v>
      </c>
      <c r="J21" s="48">
        <f t="shared" si="23"/>
        <v>0.15509259259259267</v>
      </c>
      <c r="K21" s="46">
        <v>0.14583333333333334</v>
      </c>
      <c r="L21" s="46"/>
      <c r="M21" s="46"/>
      <c r="N21" s="46"/>
      <c r="O21" s="48">
        <f t="shared" si="4"/>
        <v>0</v>
      </c>
      <c r="P21" s="48">
        <f t="shared" ref="P21:P26" si="26">O21-MIN(O$21:O$26)</f>
        <v>0</v>
      </c>
      <c r="Q21" s="48">
        <f t="shared" ref="Q21:Q26" si="27">N21-L21</f>
        <v>0</v>
      </c>
      <c r="R21" s="46">
        <v>0.16666666666666666</v>
      </c>
      <c r="S21" s="50">
        <v>0</v>
      </c>
      <c r="T21" s="50"/>
      <c r="U21" s="50">
        <v>1</v>
      </c>
      <c r="V21" s="50"/>
      <c r="W21" s="49">
        <f t="shared" si="15"/>
        <v>0</v>
      </c>
      <c r="X21" s="49">
        <f t="shared" si="16"/>
        <v>15</v>
      </c>
      <c r="Y21" s="49">
        <f t="shared" si="7"/>
        <v>2.2999999999999998</v>
      </c>
      <c r="Z21" s="49">
        <f t="shared" si="8"/>
        <v>5</v>
      </c>
      <c r="AA21" s="50">
        <v>9.6</v>
      </c>
      <c r="AB21" s="50">
        <v>6.9</v>
      </c>
      <c r="AC21" s="50">
        <v>4</v>
      </c>
      <c r="AD21" s="50">
        <v>0.6</v>
      </c>
      <c r="AE21" s="50">
        <v>1</v>
      </c>
      <c r="AF21" s="176">
        <f t="shared" si="9"/>
        <v>0</v>
      </c>
      <c r="AG21" s="50">
        <v>1.2</v>
      </c>
      <c r="AH21" s="50">
        <v>1.2</v>
      </c>
      <c r="AI21" s="50">
        <v>6</v>
      </c>
      <c r="AJ21" s="176">
        <f t="shared" si="10"/>
        <v>1</v>
      </c>
      <c r="AK21" s="50">
        <v>3</v>
      </c>
      <c r="AL21" s="50"/>
      <c r="AM21" s="49">
        <f t="shared" si="0"/>
        <v>56.800000000000004</v>
      </c>
      <c r="AN21" s="51">
        <f>RANK(AM21,$AM$21:$AM$23)</f>
        <v>3</v>
      </c>
      <c r="AP21" s="22">
        <f>RANK(I21,$I$21:$I$23,1)</f>
        <v>3</v>
      </c>
      <c r="AQ21" s="149">
        <v>12</v>
      </c>
      <c r="AR21" s="149">
        <v>12.5</v>
      </c>
      <c r="AS21" s="149">
        <v>12.55</v>
      </c>
      <c r="AT21" s="149">
        <v>12.7</v>
      </c>
      <c r="AU21" s="149"/>
      <c r="AV21" s="180">
        <f t="shared" si="17"/>
        <v>12.4375</v>
      </c>
      <c r="AW21" s="149">
        <v>12.4</v>
      </c>
      <c r="AX21" s="149">
        <v>12.45</v>
      </c>
      <c r="AY21" s="149">
        <v>12.35</v>
      </c>
      <c r="AZ21" s="149">
        <v>12.05</v>
      </c>
      <c r="BA21" s="81"/>
      <c r="BB21" s="181">
        <f t="shared" si="20"/>
        <v>12.3125</v>
      </c>
      <c r="BC21" s="160">
        <v>12</v>
      </c>
      <c r="BD21" s="185">
        <f t="shared" si="18"/>
        <v>0</v>
      </c>
      <c r="BE21" s="149"/>
      <c r="BF21" s="149"/>
      <c r="BG21" s="149"/>
      <c r="BH21" s="149"/>
      <c r="BI21" s="81"/>
      <c r="BJ21" s="181" t="e">
        <f t="shared" si="13"/>
        <v>#DIV/0!</v>
      </c>
      <c r="BK21" s="149"/>
      <c r="BL21" s="149"/>
      <c r="BM21" s="149"/>
      <c r="BN21" s="149"/>
      <c r="BO21" s="149"/>
      <c r="BP21" s="181" t="e">
        <f t="shared" si="14"/>
        <v>#DIV/0!</v>
      </c>
      <c r="BQ21" s="160">
        <v>11</v>
      </c>
      <c r="BR21" s="185">
        <f t="shared" si="19"/>
        <v>0</v>
      </c>
    </row>
    <row r="22" spans="1:70">
      <c r="A22" s="44" t="s">
        <v>102</v>
      </c>
      <c r="B22" s="14" t="s">
        <v>642</v>
      </c>
      <c r="C22" s="107" t="s">
        <v>278</v>
      </c>
      <c r="D22" s="107">
        <v>4</v>
      </c>
      <c r="E22" s="16">
        <v>0.54791666666666705</v>
      </c>
      <c r="F22" s="46">
        <v>0.58583333333333332</v>
      </c>
      <c r="G22" s="46">
        <v>0.67008101851851853</v>
      </c>
      <c r="H22" s="48">
        <f t="shared" si="1"/>
        <v>3.7916666666666266E-2</v>
      </c>
      <c r="I22" s="48">
        <f t="shared" si="25"/>
        <v>0</v>
      </c>
      <c r="J22" s="48">
        <f t="shared" si="23"/>
        <v>0.12216435185185148</v>
      </c>
      <c r="K22" s="46">
        <v>0.14583333333333334</v>
      </c>
      <c r="L22" s="46"/>
      <c r="M22" s="46"/>
      <c r="N22" s="46"/>
      <c r="O22" s="48">
        <f t="shared" si="4"/>
        <v>0</v>
      </c>
      <c r="P22" s="48">
        <f t="shared" si="26"/>
        <v>0</v>
      </c>
      <c r="Q22" s="48">
        <f t="shared" si="27"/>
        <v>0</v>
      </c>
      <c r="R22" s="46">
        <v>0.16666666666666666</v>
      </c>
      <c r="S22" s="50">
        <v>2</v>
      </c>
      <c r="T22" s="50"/>
      <c r="U22" s="50">
        <v>1</v>
      </c>
      <c r="V22" s="50"/>
      <c r="W22" s="49">
        <f t="shared" si="15"/>
        <v>15</v>
      </c>
      <c r="X22" s="49">
        <f t="shared" si="16"/>
        <v>15</v>
      </c>
      <c r="Y22" s="49">
        <f t="shared" si="7"/>
        <v>5</v>
      </c>
      <c r="Z22" s="49">
        <f t="shared" si="8"/>
        <v>5</v>
      </c>
      <c r="AA22" s="50">
        <v>10</v>
      </c>
      <c r="AB22" s="50">
        <v>7.8</v>
      </c>
      <c r="AC22" s="50">
        <v>4</v>
      </c>
      <c r="AD22" s="50">
        <v>1.2</v>
      </c>
      <c r="AE22" s="50">
        <v>1.6</v>
      </c>
      <c r="AF22" s="176">
        <f t="shared" si="9"/>
        <v>2</v>
      </c>
      <c r="AG22" s="50">
        <v>1.6</v>
      </c>
      <c r="AH22" s="50">
        <v>1.8</v>
      </c>
      <c r="AI22" s="50">
        <v>5.8</v>
      </c>
      <c r="AJ22" s="176">
        <f t="shared" si="10"/>
        <v>1</v>
      </c>
      <c r="AK22" s="50">
        <v>3</v>
      </c>
      <c r="AL22" s="50"/>
      <c r="AM22" s="49">
        <f t="shared" si="0"/>
        <v>79.799999999999983</v>
      </c>
      <c r="AN22" s="51">
        <f>RANK(AM22,$AM$21:$AM$23)</f>
        <v>1</v>
      </c>
      <c r="AP22" s="22">
        <f>RANK(I22,$I$21:$I$23,1)</f>
        <v>1</v>
      </c>
      <c r="AQ22" s="149">
        <v>12.05</v>
      </c>
      <c r="AR22" s="149">
        <v>12.4</v>
      </c>
      <c r="AS22" s="149">
        <v>12.5</v>
      </c>
      <c r="AT22" s="149">
        <v>12.2</v>
      </c>
      <c r="AU22" s="149"/>
      <c r="AV22" s="180">
        <f t="shared" si="17"/>
        <v>12.287500000000001</v>
      </c>
      <c r="AW22" s="149">
        <v>14.9</v>
      </c>
      <c r="AX22" s="149">
        <v>9.4</v>
      </c>
      <c r="AY22" s="149">
        <v>10.7</v>
      </c>
      <c r="AZ22" s="149">
        <v>13.6</v>
      </c>
      <c r="BA22" s="81"/>
      <c r="BB22" s="181">
        <f t="shared" si="20"/>
        <v>12.15</v>
      </c>
      <c r="BC22" s="160">
        <v>12</v>
      </c>
      <c r="BD22" s="185">
        <f t="shared" si="18"/>
        <v>0</v>
      </c>
      <c r="BE22" s="149"/>
      <c r="BF22" s="149"/>
      <c r="BG22" s="149"/>
      <c r="BH22" s="149"/>
      <c r="BI22" s="81"/>
      <c r="BJ22" s="181" t="e">
        <f t="shared" si="13"/>
        <v>#DIV/0!</v>
      </c>
      <c r="BK22" s="149"/>
      <c r="BL22" s="149"/>
      <c r="BM22" s="149"/>
      <c r="BN22" s="149"/>
      <c r="BO22" s="149"/>
      <c r="BP22" s="181" t="e">
        <f t="shared" si="14"/>
        <v>#DIV/0!</v>
      </c>
      <c r="BQ22" s="160">
        <v>11</v>
      </c>
      <c r="BR22" s="185">
        <f t="shared" si="19"/>
        <v>0</v>
      </c>
    </row>
    <row r="23" spans="1:70" ht="14.25" thickBot="1">
      <c r="A23" s="62" t="s">
        <v>102</v>
      </c>
      <c r="B23" s="62" t="s">
        <v>632</v>
      </c>
      <c r="C23" s="110" t="s">
        <v>279</v>
      </c>
      <c r="D23" s="110">
        <v>4</v>
      </c>
      <c r="E23" s="64">
        <v>0.54861111111111105</v>
      </c>
      <c r="F23" s="64">
        <v>0.59273148148148147</v>
      </c>
      <c r="G23" s="64">
        <v>0.67841435185185184</v>
      </c>
      <c r="H23" s="66">
        <f t="shared" si="1"/>
        <v>4.4120370370370421E-2</v>
      </c>
      <c r="I23" s="66">
        <f t="shared" si="25"/>
        <v>6.2037037037041554E-3</v>
      </c>
      <c r="J23" s="66">
        <f t="shared" si="23"/>
        <v>0.12980324074074079</v>
      </c>
      <c r="K23" s="64">
        <v>0.14583333333333334</v>
      </c>
      <c r="L23" s="64"/>
      <c r="M23" s="64"/>
      <c r="N23" s="64"/>
      <c r="O23" s="66">
        <f t="shared" si="4"/>
        <v>0</v>
      </c>
      <c r="P23" s="66">
        <f t="shared" si="26"/>
        <v>0</v>
      </c>
      <c r="Q23" s="66">
        <f t="shared" si="27"/>
        <v>0</v>
      </c>
      <c r="R23" s="64">
        <v>0.16666666666666666</v>
      </c>
      <c r="S23" s="68">
        <v>1</v>
      </c>
      <c r="T23" s="68"/>
      <c r="U23" s="68">
        <v>1</v>
      </c>
      <c r="V23" s="68"/>
      <c r="W23" s="67">
        <f t="shared" si="15"/>
        <v>10.5</v>
      </c>
      <c r="X23" s="67">
        <f t="shared" si="16"/>
        <v>15</v>
      </c>
      <c r="Y23" s="67">
        <f t="shared" si="7"/>
        <v>5</v>
      </c>
      <c r="Z23" s="67">
        <f t="shared" si="8"/>
        <v>5</v>
      </c>
      <c r="AA23" s="68">
        <v>10</v>
      </c>
      <c r="AB23" s="68">
        <v>8</v>
      </c>
      <c r="AC23" s="68">
        <v>4</v>
      </c>
      <c r="AD23" s="68">
        <v>4.5</v>
      </c>
      <c r="AE23" s="68">
        <v>2</v>
      </c>
      <c r="AF23" s="175">
        <f t="shared" si="9"/>
        <v>1</v>
      </c>
      <c r="AG23" s="68">
        <v>2.8</v>
      </c>
      <c r="AH23" s="68">
        <v>1.4</v>
      </c>
      <c r="AI23" s="68">
        <v>6</v>
      </c>
      <c r="AJ23" s="175">
        <f t="shared" si="10"/>
        <v>1</v>
      </c>
      <c r="AK23" s="68">
        <v>3</v>
      </c>
      <c r="AL23" s="68"/>
      <c r="AM23" s="67">
        <f t="shared" si="0"/>
        <v>79.2</v>
      </c>
      <c r="AN23" s="111">
        <f>RANK(AM23,$AM$21:$AM$23)</f>
        <v>2</v>
      </c>
      <c r="AP23" s="22">
        <f>RANK(I23,$I$21:$I$23,1)</f>
        <v>2</v>
      </c>
      <c r="AQ23" s="149">
        <v>13.05</v>
      </c>
      <c r="AR23" s="149">
        <v>12.45</v>
      </c>
      <c r="AS23" s="149">
        <v>12.6</v>
      </c>
      <c r="AT23" s="149">
        <v>12.4</v>
      </c>
      <c r="AU23" s="149"/>
      <c r="AV23" s="180">
        <f t="shared" si="17"/>
        <v>12.625</v>
      </c>
      <c r="AW23" s="149">
        <v>12.55</v>
      </c>
      <c r="AX23" s="149">
        <v>12.35</v>
      </c>
      <c r="AY23" s="149">
        <v>12.55</v>
      </c>
      <c r="AZ23" s="149">
        <v>12.45</v>
      </c>
      <c r="BA23" s="81"/>
      <c r="BB23" s="181">
        <f t="shared" si="20"/>
        <v>12.475000000000001</v>
      </c>
      <c r="BC23" s="160">
        <v>12</v>
      </c>
      <c r="BD23" s="185">
        <f t="shared" si="18"/>
        <v>0</v>
      </c>
      <c r="BE23" s="149"/>
      <c r="BF23" s="149"/>
      <c r="BG23" s="149"/>
      <c r="BH23" s="149"/>
      <c r="BI23" s="81"/>
      <c r="BJ23" s="181" t="e">
        <f t="shared" si="13"/>
        <v>#DIV/0!</v>
      </c>
      <c r="BK23" s="149"/>
      <c r="BL23" s="149"/>
      <c r="BM23" s="149"/>
      <c r="BN23" s="149"/>
      <c r="BO23" s="149"/>
      <c r="BP23" s="181" t="e">
        <f t="shared" si="14"/>
        <v>#DIV/0!</v>
      </c>
      <c r="BQ23" s="160">
        <v>11</v>
      </c>
      <c r="BR23" s="185">
        <f t="shared" si="19"/>
        <v>0</v>
      </c>
    </row>
    <row r="24" spans="1:70">
      <c r="A24" s="44" t="s">
        <v>643</v>
      </c>
      <c r="B24" s="44" t="s">
        <v>642</v>
      </c>
      <c r="C24" s="107" t="s">
        <v>644</v>
      </c>
      <c r="D24" s="107">
        <v>4</v>
      </c>
      <c r="E24" s="46">
        <v>0.54930555555555505</v>
      </c>
      <c r="F24" s="46">
        <v>0.59915509259259259</v>
      </c>
      <c r="G24" s="46">
        <v>0.6928819444444444</v>
      </c>
      <c r="H24" s="48">
        <f t="shared" si="1"/>
        <v>4.9849537037037539E-2</v>
      </c>
      <c r="I24" s="48">
        <f t="shared" si="25"/>
        <v>1.1932870370371274E-2</v>
      </c>
      <c r="J24" s="48">
        <f t="shared" si="23"/>
        <v>0.14357638888888935</v>
      </c>
      <c r="K24" s="46">
        <v>0.14583333333333334</v>
      </c>
      <c r="L24" s="46"/>
      <c r="M24" s="46"/>
      <c r="N24" s="46"/>
      <c r="O24" s="48">
        <f t="shared" si="4"/>
        <v>0</v>
      </c>
      <c r="P24" s="48">
        <f t="shared" si="26"/>
        <v>0</v>
      </c>
      <c r="Q24" s="48">
        <f t="shared" si="27"/>
        <v>0</v>
      </c>
      <c r="R24" s="46">
        <v>0.16666666666666666</v>
      </c>
      <c r="S24" s="50">
        <v>0</v>
      </c>
      <c r="T24" s="50"/>
      <c r="U24" s="50">
        <v>0</v>
      </c>
      <c r="V24" s="50"/>
      <c r="W24" s="49">
        <f t="shared" si="15"/>
        <v>6.4</v>
      </c>
      <c r="X24" s="49">
        <f t="shared" si="16"/>
        <v>15</v>
      </c>
      <c r="Y24" s="49">
        <f t="shared" si="7"/>
        <v>5</v>
      </c>
      <c r="Z24" s="49">
        <f t="shared" si="8"/>
        <v>5</v>
      </c>
      <c r="AA24" s="50">
        <v>7</v>
      </c>
      <c r="AB24" s="50">
        <v>5.2</v>
      </c>
      <c r="AC24" s="50">
        <v>3.6</v>
      </c>
      <c r="AD24" s="50">
        <v>0.5</v>
      </c>
      <c r="AE24" s="50">
        <v>1.8</v>
      </c>
      <c r="AF24" s="176">
        <f t="shared" si="9"/>
        <v>0</v>
      </c>
      <c r="AG24" s="50">
        <v>0.4</v>
      </c>
      <c r="AH24" s="50">
        <v>1.6</v>
      </c>
      <c r="AI24" s="50">
        <v>5.3</v>
      </c>
      <c r="AJ24" s="176">
        <f t="shared" si="10"/>
        <v>0</v>
      </c>
      <c r="AK24" s="50">
        <v>3</v>
      </c>
      <c r="AL24" s="50"/>
      <c r="AM24" s="49">
        <f t="shared" si="0"/>
        <v>59.8</v>
      </c>
      <c r="AN24" s="51">
        <f>RANK(AM24,$AM$24:$AM$26)</f>
        <v>3</v>
      </c>
      <c r="AP24" s="22">
        <f>RANK(I24,$I$24:$I$26,1)</f>
        <v>3</v>
      </c>
      <c r="AQ24" s="149">
        <v>12.75</v>
      </c>
      <c r="AR24" s="149">
        <v>12.7</v>
      </c>
      <c r="AS24" s="149">
        <v>12.4</v>
      </c>
      <c r="AT24" s="149">
        <v>12.2</v>
      </c>
      <c r="AU24" s="149"/>
      <c r="AV24" s="180">
        <f t="shared" si="17"/>
        <v>12.512499999999999</v>
      </c>
      <c r="AW24" s="149">
        <v>11.85</v>
      </c>
      <c r="AX24" s="149">
        <v>12.35</v>
      </c>
      <c r="AY24" s="149">
        <v>12</v>
      </c>
      <c r="AZ24" s="149">
        <v>12.35</v>
      </c>
      <c r="BA24" s="81"/>
      <c r="BB24" s="181">
        <f t="shared" si="20"/>
        <v>12.137500000000001</v>
      </c>
      <c r="BC24" s="160">
        <v>12</v>
      </c>
      <c r="BD24" s="185">
        <f t="shared" si="18"/>
        <v>0</v>
      </c>
      <c r="BE24" s="149"/>
      <c r="BF24" s="149"/>
      <c r="BG24" s="149"/>
      <c r="BH24" s="149"/>
      <c r="BI24" s="81"/>
      <c r="BJ24" s="181" t="e">
        <f t="shared" si="13"/>
        <v>#DIV/0!</v>
      </c>
      <c r="BK24" s="149"/>
      <c r="BL24" s="149"/>
      <c r="BM24" s="149"/>
      <c r="BN24" s="149"/>
      <c r="BO24" s="149"/>
      <c r="BP24" s="181" t="e">
        <f t="shared" si="14"/>
        <v>#DIV/0!</v>
      </c>
      <c r="BQ24" s="160">
        <v>11</v>
      </c>
      <c r="BR24" s="185">
        <f t="shared" si="19"/>
        <v>0</v>
      </c>
    </row>
    <row r="25" spans="1:70">
      <c r="A25" s="14" t="s">
        <v>643</v>
      </c>
      <c r="B25" s="14" t="s">
        <v>632</v>
      </c>
      <c r="C25" s="101" t="s">
        <v>645</v>
      </c>
      <c r="D25" s="101">
        <v>4</v>
      </c>
      <c r="E25" s="46">
        <v>0.55000000000000004</v>
      </c>
      <c r="F25" s="16">
        <v>0.5988310185185185</v>
      </c>
      <c r="G25" s="16">
        <v>0.68518518518518512</v>
      </c>
      <c r="H25" s="18">
        <f t="shared" si="1"/>
        <v>4.8831018518518454E-2</v>
      </c>
      <c r="I25" s="18">
        <f t="shared" si="25"/>
        <v>1.0914351851852189E-2</v>
      </c>
      <c r="J25" s="18">
        <f t="shared" si="23"/>
        <v>0.13518518518518507</v>
      </c>
      <c r="K25" s="16">
        <v>0.14583333333333334</v>
      </c>
      <c r="L25" s="16"/>
      <c r="M25" s="16"/>
      <c r="N25" s="16"/>
      <c r="O25" s="18">
        <f t="shared" si="4"/>
        <v>0</v>
      </c>
      <c r="P25" s="18">
        <f t="shared" si="26"/>
        <v>0</v>
      </c>
      <c r="Q25" s="18">
        <f t="shared" si="27"/>
        <v>0</v>
      </c>
      <c r="R25" s="16">
        <v>0.16666666666666666</v>
      </c>
      <c r="S25" s="37">
        <v>0.5</v>
      </c>
      <c r="T25" s="37"/>
      <c r="U25" s="37">
        <v>1</v>
      </c>
      <c r="V25" s="37"/>
      <c r="W25" s="19">
        <f t="shared" si="15"/>
        <v>7.1</v>
      </c>
      <c r="X25" s="19">
        <f t="shared" si="16"/>
        <v>15</v>
      </c>
      <c r="Y25" s="19">
        <f t="shared" si="7"/>
        <v>5</v>
      </c>
      <c r="Z25" s="19">
        <f t="shared" si="8"/>
        <v>5</v>
      </c>
      <c r="AA25" s="37">
        <v>9</v>
      </c>
      <c r="AB25" s="37">
        <v>7</v>
      </c>
      <c r="AC25" s="37">
        <v>3.6</v>
      </c>
      <c r="AD25" s="37">
        <v>0.4</v>
      </c>
      <c r="AE25" s="37">
        <v>1.8</v>
      </c>
      <c r="AF25" s="174">
        <f t="shared" si="9"/>
        <v>0.5</v>
      </c>
      <c r="AG25" s="37">
        <v>2</v>
      </c>
      <c r="AH25" s="37">
        <v>1.6</v>
      </c>
      <c r="AI25" s="37">
        <v>6</v>
      </c>
      <c r="AJ25" s="174">
        <f t="shared" si="10"/>
        <v>1</v>
      </c>
      <c r="AK25" s="37">
        <v>3</v>
      </c>
      <c r="AL25" s="37"/>
      <c r="AM25" s="19">
        <f t="shared" si="0"/>
        <v>68</v>
      </c>
      <c r="AN25" s="51">
        <f>RANK(AM25,$AM$24:$AM$26)</f>
        <v>2</v>
      </c>
      <c r="AP25" s="22">
        <f>RANK(I25,$I$24:$I$26,1)</f>
        <v>2</v>
      </c>
      <c r="AQ25" s="149">
        <v>14.35</v>
      </c>
      <c r="AR25" s="149">
        <v>13.8</v>
      </c>
      <c r="AS25" s="149">
        <v>12.65</v>
      </c>
      <c r="AT25" s="149">
        <v>13.55</v>
      </c>
      <c r="AU25" s="149"/>
      <c r="AV25" s="180">
        <f t="shared" si="17"/>
        <v>13.587499999999999</v>
      </c>
      <c r="AW25" s="149">
        <v>14.1</v>
      </c>
      <c r="AX25" s="149">
        <v>13.6</v>
      </c>
      <c r="AY25" s="149">
        <v>12.6</v>
      </c>
      <c r="AZ25" s="149">
        <v>13.45</v>
      </c>
      <c r="BA25" s="81"/>
      <c r="BB25" s="181">
        <f t="shared" si="20"/>
        <v>13.4375</v>
      </c>
      <c r="BC25" s="160">
        <v>12</v>
      </c>
      <c r="BD25" s="185">
        <f t="shared" si="18"/>
        <v>0</v>
      </c>
      <c r="BE25" s="149"/>
      <c r="BF25" s="149"/>
      <c r="BG25" s="149"/>
      <c r="BH25" s="149"/>
      <c r="BI25" s="81"/>
      <c r="BJ25" s="181" t="e">
        <f t="shared" si="13"/>
        <v>#DIV/0!</v>
      </c>
      <c r="BK25" s="149"/>
      <c r="BL25" s="149"/>
      <c r="BM25" s="149"/>
      <c r="BN25" s="149"/>
      <c r="BO25" s="149"/>
      <c r="BP25" s="181" t="e">
        <f t="shared" si="14"/>
        <v>#DIV/0!</v>
      </c>
      <c r="BQ25" s="160">
        <v>11</v>
      </c>
      <c r="BR25" s="185">
        <f t="shared" si="19"/>
        <v>0</v>
      </c>
    </row>
    <row r="26" spans="1:70" ht="14.25" thickBot="1">
      <c r="A26" s="138" t="s">
        <v>643</v>
      </c>
      <c r="B26" s="138" t="s">
        <v>122</v>
      </c>
      <c r="C26" s="139" t="s">
        <v>646</v>
      </c>
      <c r="D26" s="139">
        <v>3</v>
      </c>
      <c r="E26" s="64">
        <v>0.55069444444444404</v>
      </c>
      <c r="F26" s="164">
        <v>0.59554398148148147</v>
      </c>
      <c r="G26" s="164">
        <v>0.68611111111111101</v>
      </c>
      <c r="H26" s="165">
        <f t="shared" si="1"/>
        <v>4.4849537037037424E-2</v>
      </c>
      <c r="I26" s="165">
        <f t="shared" si="25"/>
        <v>6.9328703703711581E-3</v>
      </c>
      <c r="J26" s="165">
        <f t="shared" si="23"/>
        <v>0.13541666666666696</v>
      </c>
      <c r="K26" s="164">
        <v>0.14583333333333334</v>
      </c>
      <c r="L26" s="164"/>
      <c r="M26" s="164"/>
      <c r="N26" s="164"/>
      <c r="O26" s="165">
        <f t="shared" si="4"/>
        <v>0</v>
      </c>
      <c r="P26" s="165">
        <f t="shared" si="26"/>
        <v>0</v>
      </c>
      <c r="Q26" s="165">
        <f t="shared" si="27"/>
        <v>0</v>
      </c>
      <c r="R26" s="164">
        <v>0.16666666666666666</v>
      </c>
      <c r="S26" s="167">
        <v>1</v>
      </c>
      <c r="T26" s="167"/>
      <c r="U26" s="167">
        <v>1</v>
      </c>
      <c r="V26" s="167"/>
      <c r="W26" s="166">
        <f t="shared" si="15"/>
        <v>10</v>
      </c>
      <c r="X26" s="166">
        <f t="shared" si="16"/>
        <v>15</v>
      </c>
      <c r="Y26" s="166">
        <f t="shared" si="7"/>
        <v>5</v>
      </c>
      <c r="Z26" s="166">
        <f t="shared" si="8"/>
        <v>5</v>
      </c>
      <c r="AA26" s="167">
        <v>10</v>
      </c>
      <c r="AB26" s="167">
        <v>8</v>
      </c>
      <c r="AC26" s="167">
        <v>4</v>
      </c>
      <c r="AD26" s="167">
        <v>2.5</v>
      </c>
      <c r="AE26" s="167">
        <v>2</v>
      </c>
      <c r="AF26" s="177">
        <f t="shared" si="9"/>
        <v>1</v>
      </c>
      <c r="AG26" s="167">
        <v>3.8</v>
      </c>
      <c r="AH26" s="167">
        <v>1.6</v>
      </c>
      <c r="AI26" s="167">
        <v>6</v>
      </c>
      <c r="AJ26" s="177">
        <f t="shared" si="10"/>
        <v>1</v>
      </c>
      <c r="AK26" s="167">
        <v>3</v>
      </c>
      <c r="AL26" s="167"/>
      <c r="AM26" s="166">
        <f t="shared" si="0"/>
        <v>77.899999999999991</v>
      </c>
      <c r="AN26" s="111">
        <f>RANK(AM26,$AM$24:$AM$26)</f>
        <v>1</v>
      </c>
      <c r="AP26" s="22">
        <f>RANK(I26,$I$24:$I$26,1)</f>
        <v>1</v>
      </c>
      <c r="AQ26" s="149">
        <v>12.8</v>
      </c>
      <c r="AR26" s="149">
        <v>13</v>
      </c>
      <c r="AS26" s="149">
        <v>15.6</v>
      </c>
      <c r="AT26" s="149"/>
      <c r="AU26" s="149"/>
      <c r="AV26" s="180">
        <f t="shared" si="17"/>
        <v>13.799999999999999</v>
      </c>
      <c r="AW26" s="149">
        <v>15.45</v>
      </c>
      <c r="AX26" s="149">
        <v>12.6</v>
      </c>
      <c r="AY26" s="149">
        <v>12.6</v>
      </c>
      <c r="AZ26" s="149"/>
      <c r="BA26" s="81"/>
      <c r="BB26" s="181">
        <f t="shared" si="20"/>
        <v>13.549999999999999</v>
      </c>
      <c r="BC26" s="160">
        <v>12</v>
      </c>
      <c r="BD26" s="185">
        <f t="shared" si="18"/>
        <v>0</v>
      </c>
      <c r="BE26" s="149"/>
      <c r="BF26" s="149"/>
      <c r="BG26" s="149"/>
      <c r="BH26" s="149"/>
      <c r="BI26" s="81"/>
      <c r="BJ26" s="181" t="e">
        <f t="shared" si="13"/>
        <v>#DIV/0!</v>
      </c>
      <c r="BK26" s="149"/>
      <c r="BL26" s="149"/>
      <c r="BM26" s="149"/>
      <c r="BN26" s="149"/>
      <c r="BO26" s="149"/>
      <c r="BP26" s="181" t="e">
        <f t="shared" si="14"/>
        <v>#DIV/0!</v>
      </c>
      <c r="BQ26" s="160">
        <v>11</v>
      </c>
      <c r="BR26" s="185">
        <f t="shared" si="19"/>
        <v>0</v>
      </c>
    </row>
    <row r="27" spans="1:70">
      <c r="A27" s="44" t="s">
        <v>103</v>
      </c>
      <c r="B27" s="44" t="s">
        <v>611</v>
      </c>
      <c r="C27" s="107"/>
      <c r="D27" s="107">
        <v>3</v>
      </c>
      <c r="E27" s="46"/>
      <c r="F27" s="46"/>
      <c r="G27" s="46"/>
      <c r="H27" s="48"/>
      <c r="I27" s="48"/>
      <c r="J27" s="48"/>
      <c r="K27" s="46"/>
      <c r="L27" s="46"/>
      <c r="M27" s="46"/>
      <c r="N27" s="46"/>
      <c r="O27" s="48"/>
      <c r="P27" s="48"/>
      <c r="Q27" s="48"/>
      <c r="R27" s="46"/>
      <c r="S27" s="50"/>
      <c r="T27" s="50"/>
      <c r="U27" s="50"/>
      <c r="V27" s="50"/>
      <c r="W27" s="49"/>
      <c r="X27" s="49"/>
      <c r="Y27" s="49"/>
      <c r="Z27" s="49"/>
      <c r="AA27" s="50"/>
      <c r="AB27" s="50"/>
      <c r="AC27" s="50"/>
      <c r="AD27" s="50"/>
      <c r="AE27" s="50"/>
      <c r="AF27" s="176"/>
      <c r="AG27" s="50"/>
      <c r="AH27" s="50"/>
      <c r="AI27" s="50"/>
      <c r="AJ27" s="176"/>
      <c r="AK27" s="50"/>
      <c r="AL27" s="50"/>
      <c r="AM27" s="49"/>
      <c r="AN27" s="51"/>
      <c r="AQ27" s="81"/>
      <c r="AR27" s="81"/>
      <c r="AS27" s="81"/>
      <c r="AT27" s="81"/>
      <c r="AU27" s="81"/>
      <c r="AV27" s="181"/>
      <c r="AW27" s="81"/>
      <c r="AX27" s="81"/>
      <c r="AY27" s="81"/>
      <c r="AZ27" s="81"/>
      <c r="BA27" s="81"/>
      <c r="BB27" s="181"/>
      <c r="BC27" s="81"/>
      <c r="BD27" s="186"/>
      <c r="BE27" s="81"/>
      <c r="BF27" s="81"/>
      <c r="BG27" s="81"/>
      <c r="BH27" s="81"/>
      <c r="BI27" s="81"/>
      <c r="BJ27" s="181"/>
      <c r="BK27" s="81"/>
      <c r="BL27" s="81"/>
      <c r="BM27" s="81"/>
      <c r="BN27" s="81"/>
      <c r="BO27" s="81"/>
      <c r="BP27" s="181"/>
      <c r="BQ27" s="81"/>
      <c r="BR27" s="186"/>
    </row>
    <row r="28" spans="1:70">
      <c r="A28" s="14" t="s">
        <v>103</v>
      </c>
      <c r="B28" s="14" t="s">
        <v>122</v>
      </c>
      <c r="C28" s="130"/>
      <c r="D28" s="101">
        <v>3</v>
      </c>
      <c r="E28" s="16"/>
      <c r="F28" s="16"/>
      <c r="G28" s="16"/>
      <c r="H28" s="18"/>
      <c r="I28" s="18"/>
      <c r="J28" s="18"/>
      <c r="K28" s="16"/>
      <c r="L28" s="16"/>
      <c r="M28" s="16"/>
      <c r="N28" s="16"/>
      <c r="O28" s="18"/>
      <c r="P28" s="18"/>
      <c r="Q28" s="18"/>
      <c r="R28" s="16"/>
      <c r="S28" s="37"/>
      <c r="T28" s="37"/>
      <c r="U28" s="37"/>
      <c r="V28" s="37"/>
      <c r="W28" s="19"/>
      <c r="X28" s="19"/>
      <c r="Y28" s="19"/>
      <c r="Z28" s="19"/>
      <c r="AA28" s="37"/>
      <c r="AB28" s="37"/>
      <c r="AC28" s="37"/>
      <c r="AD28" s="37"/>
      <c r="AE28" s="37"/>
      <c r="AF28" s="174"/>
      <c r="AG28" s="37"/>
      <c r="AH28" s="37"/>
      <c r="AI28" s="37"/>
      <c r="AJ28" s="174"/>
      <c r="AK28" s="37"/>
      <c r="AL28" s="37"/>
      <c r="AM28" s="19"/>
      <c r="AN28" s="33"/>
      <c r="AV28" s="182"/>
      <c r="BB28" s="182"/>
      <c r="BD28" s="182"/>
      <c r="BJ28" s="181"/>
      <c r="BP28" s="182"/>
      <c r="BR28" s="182"/>
    </row>
    <row r="29" spans="1:70">
      <c r="A29" s="14" t="s">
        <v>103</v>
      </c>
      <c r="B29" s="14" t="s">
        <v>592</v>
      </c>
      <c r="C29" s="101"/>
      <c r="D29" s="101">
        <v>0</v>
      </c>
      <c r="E29" s="16"/>
      <c r="F29" s="16"/>
      <c r="G29" s="16"/>
      <c r="H29" s="18"/>
      <c r="I29" s="18"/>
      <c r="J29" s="18"/>
      <c r="K29" s="16"/>
      <c r="L29" s="16"/>
      <c r="M29" s="16"/>
      <c r="N29" s="16"/>
      <c r="O29" s="18"/>
      <c r="P29" s="18"/>
      <c r="Q29" s="18"/>
      <c r="R29" s="16"/>
      <c r="S29" s="37"/>
      <c r="T29" s="37"/>
      <c r="U29" s="37"/>
      <c r="V29" s="37"/>
      <c r="W29" s="19"/>
      <c r="X29" s="19"/>
      <c r="Y29" s="19"/>
      <c r="Z29" s="19"/>
      <c r="AA29" s="37"/>
      <c r="AB29" s="37"/>
      <c r="AC29" s="37"/>
      <c r="AD29" s="37"/>
      <c r="AE29" s="37"/>
      <c r="AF29" s="174"/>
      <c r="AG29" s="37"/>
      <c r="AH29" s="37"/>
      <c r="AI29" s="37"/>
      <c r="AJ29" s="174"/>
      <c r="AK29" s="37"/>
      <c r="AL29" s="37"/>
      <c r="AM29" s="19"/>
      <c r="AN29" s="33"/>
      <c r="AV29" s="182"/>
      <c r="BB29" s="182"/>
      <c r="BD29" s="182"/>
      <c r="BJ29" s="181"/>
      <c r="BP29" s="182"/>
      <c r="BR29" s="182"/>
    </row>
    <row r="30" spans="1:70">
      <c r="A30" s="14" t="s">
        <v>103</v>
      </c>
      <c r="B30" s="14" t="s">
        <v>69</v>
      </c>
      <c r="C30" s="101"/>
      <c r="D30" s="101">
        <v>2</v>
      </c>
      <c r="E30" s="16"/>
      <c r="F30" s="16"/>
      <c r="G30" s="16"/>
      <c r="H30" s="18"/>
      <c r="I30" s="18"/>
      <c r="J30" s="18"/>
      <c r="K30" s="16"/>
      <c r="L30" s="16"/>
      <c r="M30" s="16"/>
      <c r="N30" s="16"/>
      <c r="O30" s="18"/>
      <c r="P30" s="18"/>
      <c r="Q30" s="18"/>
      <c r="R30" s="16"/>
      <c r="S30" s="37"/>
      <c r="T30" s="37"/>
      <c r="U30" s="37"/>
      <c r="V30" s="37"/>
      <c r="W30" s="19"/>
      <c r="X30" s="19"/>
      <c r="Y30" s="19"/>
      <c r="Z30" s="19"/>
      <c r="AA30" s="37"/>
      <c r="AB30" s="37"/>
      <c r="AC30" s="37"/>
      <c r="AD30" s="37"/>
      <c r="AE30" s="37"/>
      <c r="AF30" s="174"/>
      <c r="AG30" s="37"/>
      <c r="AH30" s="37"/>
      <c r="AI30" s="37"/>
      <c r="AJ30" s="174"/>
      <c r="AK30" s="37"/>
      <c r="AL30" s="37"/>
      <c r="AM30" s="19"/>
      <c r="AN30" s="33"/>
      <c r="AV30" s="182"/>
      <c r="BB30" s="182"/>
      <c r="BD30" s="182"/>
      <c r="BJ30" s="181"/>
      <c r="BP30" s="182"/>
      <c r="BR30" s="182"/>
    </row>
    <row r="31" spans="1:70">
      <c r="A31" s="14" t="s">
        <v>103</v>
      </c>
      <c r="B31" s="14" t="s">
        <v>29</v>
      </c>
      <c r="C31" s="101"/>
      <c r="D31" s="101">
        <v>2</v>
      </c>
      <c r="E31" s="16"/>
      <c r="F31" s="16"/>
      <c r="G31" s="16"/>
      <c r="H31" s="18"/>
      <c r="I31" s="18"/>
      <c r="J31" s="18"/>
      <c r="K31" s="16"/>
      <c r="L31" s="16"/>
      <c r="M31" s="16"/>
      <c r="N31" s="16"/>
      <c r="O31" s="18"/>
      <c r="P31" s="18"/>
      <c r="Q31" s="18"/>
      <c r="R31" s="16"/>
      <c r="S31" s="37"/>
      <c r="T31" s="37"/>
      <c r="U31" s="37"/>
      <c r="V31" s="37"/>
      <c r="W31" s="19"/>
      <c r="X31" s="19"/>
      <c r="Y31" s="19"/>
      <c r="Z31" s="19"/>
      <c r="AA31" s="37"/>
      <c r="AB31" s="37"/>
      <c r="AC31" s="37"/>
      <c r="AD31" s="37"/>
      <c r="AE31" s="37"/>
      <c r="AF31" s="174"/>
      <c r="AG31" s="37"/>
      <c r="AH31" s="37"/>
      <c r="AI31" s="37"/>
      <c r="AJ31" s="174"/>
      <c r="AK31" s="37"/>
      <c r="AL31" s="37"/>
      <c r="AM31" s="19"/>
      <c r="AN31" s="33"/>
      <c r="AV31" s="182"/>
      <c r="BB31" s="182"/>
      <c r="BD31" s="182"/>
      <c r="BJ31" s="182"/>
      <c r="BP31" s="182"/>
      <c r="BR31" s="182"/>
    </row>
    <row r="32" spans="1:70">
      <c r="A32" s="14" t="s">
        <v>103</v>
      </c>
      <c r="B32" s="14" t="s">
        <v>234</v>
      </c>
      <c r="C32" s="101"/>
      <c r="D32" s="101">
        <v>1</v>
      </c>
      <c r="E32" s="16"/>
      <c r="F32" s="16"/>
      <c r="G32" s="16"/>
      <c r="H32" s="18"/>
      <c r="I32" s="18"/>
      <c r="J32" s="18"/>
      <c r="K32" s="16"/>
      <c r="L32" s="16"/>
      <c r="M32" s="16"/>
      <c r="N32" s="16"/>
      <c r="O32" s="18"/>
      <c r="P32" s="18"/>
      <c r="Q32" s="18"/>
      <c r="R32" s="16"/>
      <c r="S32" s="37"/>
      <c r="T32" s="37"/>
      <c r="U32" s="37"/>
      <c r="V32" s="37"/>
      <c r="W32" s="19"/>
      <c r="X32" s="19"/>
      <c r="Y32" s="19"/>
      <c r="Z32" s="19"/>
      <c r="AA32" s="37"/>
      <c r="AB32" s="37"/>
      <c r="AC32" s="37"/>
      <c r="AD32" s="37"/>
      <c r="AE32" s="37"/>
      <c r="AF32" s="174"/>
      <c r="AG32" s="37"/>
      <c r="AH32" s="37"/>
      <c r="AI32" s="37"/>
      <c r="AJ32" s="174"/>
      <c r="AK32" s="37"/>
      <c r="AL32" s="37"/>
      <c r="AM32" s="19"/>
      <c r="AN32" s="33"/>
      <c r="AV32" s="182"/>
      <c r="BB32" s="182"/>
      <c r="BD32" s="182"/>
      <c r="BJ32" s="182"/>
      <c r="BP32" s="182"/>
      <c r="BR32" s="182"/>
    </row>
    <row r="33" spans="1:70">
      <c r="A33" s="14" t="s">
        <v>103</v>
      </c>
      <c r="B33" s="14" t="s">
        <v>182</v>
      </c>
      <c r="C33" s="101"/>
      <c r="D33" s="101">
        <v>4</v>
      </c>
      <c r="E33" s="16"/>
      <c r="F33" s="16"/>
      <c r="G33" s="16"/>
      <c r="H33" s="18"/>
      <c r="I33" s="18"/>
      <c r="J33" s="18"/>
      <c r="K33" s="16"/>
      <c r="L33" s="16"/>
      <c r="M33" s="16"/>
      <c r="N33" s="16"/>
      <c r="O33" s="18"/>
      <c r="P33" s="18"/>
      <c r="Q33" s="18"/>
      <c r="R33" s="16"/>
      <c r="S33" s="37"/>
      <c r="T33" s="37"/>
      <c r="U33" s="37"/>
      <c r="V33" s="37"/>
      <c r="W33" s="19"/>
      <c r="X33" s="19"/>
      <c r="Y33" s="19"/>
      <c r="Z33" s="19"/>
      <c r="AA33" s="37"/>
      <c r="AB33" s="37"/>
      <c r="AC33" s="37"/>
      <c r="AD33" s="37"/>
      <c r="AE33" s="37"/>
      <c r="AF33" s="174"/>
      <c r="AG33" s="37"/>
      <c r="AH33" s="37"/>
      <c r="AI33" s="37"/>
      <c r="AJ33" s="174"/>
      <c r="AK33" s="37"/>
      <c r="AL33" s="37"/>
      <c r="AM33" s="19"/>
      <c r="AN33" s="33"/>
      <c r="AV33" s="182"/>
      <c r="BB33" s="182"/>
      <c r="BD33" s="182"/>
      <c r="BJ33" s="182"/>
      <c r="BP33" s="182"/>
      <c r="BR33" s="182"/>
    </row>
    <row r="34" spans="1:70">
      <c r="A34" s="14" t="s">
        <v>104</v>
      </c>
      <c r="B34" s="14" t="s">
        <v>611</v>
      </c>
      <c r="C34" s="101"/>
      <c r="D34" s="101">
        <v>1</v>
      </c>
      <c r="E34" s="16"/>
      <c r="F34" s="16"/>
      <c r="G34" s="16"/>
      <c r="H34" s="18"/>
      <c r="I34" s="18"/>
      <c r="J34" s="18"/>
      <c r="K34" s="16"/>
      <c r="L34" s="16"/>
      <c r="M34" s="16"/>
      <c r="N34" s="16"/>
      <c r="O34" s="18"/>
      <c r="P34" s="18"/>
      <c r="Q34" s="18"/>
      <c r="R34" s="16"/>
      <c r="S34" s="37"/>
      <c r="T34" s="37"/>
      <c r="U34" s="37"/>
      <c r="V34" s="37"/>
      <c r="W34" s="19"/>
      <c r="X34" s="19"/>
      <c r="Y34" s="19"/>
      <c r="Z34" s="19"/>
      <c r="AA34" s="37"/>
      <c r="AB34" s="37"/>
      <c r="AC34" s="37"/>
      <c r="AD34" s="37"/>
      <c r="AE34" s="37"/>
      <c r="AF34" s="174"/>
      <c r="AG34" s="37"/>
      <c r="AH34" s="37"/>
      <c r="AI34" s="37"/>
      <c r="AJ34" s="174"/>
      <c r="AK34" s="37"/>
      <c r="AL34" s="37"/>
      <c r="AM34" s="19"/>
      <c r="AN34" s="33"/>
      <c r="AV34" s="182"/>
      <c r="BB34" s="182"/>
      <c r="BD34" s="182"/>
      <c r="BJ34" s="182"/>
      <c r="BP34" s="182"/>
      <c r="BR34" s="182"/>
    </row>
    <row r="35" spans="1:70">
      <c r="A35" s="14" t="s">
        <v>104</v>
      </c>
      <c r="B35" s="14" t="s">
        <v>647</v>
      </c>
      <c r="C35" s="101"/>
      <c r="D35" s="101">
        <v>4</v>
      </c>
      <c r="E35" s="16"/>
      <c r="F35" s="16"/>
      <c r="G35" s="16"/>
      <c r="H35" s="18"/>
      <c r="I35" s="18"/>
      <c r="J35" s="18"/>
      <c r="K35" s="16"/>
      <c r="L35" s="16"/>
      <c r="M35" s="16"/>
      <c r="N35" s="16"/>
      <c r="O35" s="18"/>
      <c r="P35" s="18"/>
      <c r="Q35" s="18"/>
      <c r="R35" s="16"/>
      <c r="S35" s="37"/>
      <c r="T35" s="37"/>
      <c r="U35" s="37"/>
      <c r="V35" s="37"/>
      <c r="W35" s="19"/>
      <c r="X35" s="19"/>
      <c r="Y35" s="19"/>
      <c r="Z35" s="19"/>
      <c r="AA35" s="37"/>
      <c r="AB35" s="37"/>
      <c r="AC35" s="37"/>
      <c r="AD35" s="37"/>
      <c r="AE35" s="37"/>
      <c r="AF35" s="174"/>
      <c r="AG35" s="37"/>
      <c r="AH35" s="37"/>
      <c r="AI35" s="37"/>
      <c r="AJ35" s="174"/>
      <c r="AK35" s="37"/>
      <c r="AL35" s="37"/>
      <c r="AM35" s="19"/>
      <c r="AN35" s="33"/>
      <c r="AV35" s="182"/>
      <c r="BB35" s="182"/>
      <c r="BD35" s="182"/>
      <c r="BJ35" s="182"/>
      <c r="BP35" s="182"/>
      <c r="BR35" s="182"/>
    </row>
    <row r="36" spans="1:70">
      <c r="A36" s="14" t="s">
        <v>104</v>
      </c>
      <c r="B36" s="14" t="s">
        <v>590</v>
      </c>
      <c r="C36" s="101"/>
      <c r="D36" s="101">
        <v>2</v>
      </c>
      <c r="E36" s="16"/>
      <c r="F36" s="16"/>
      <c r="G36" s="16"/>
      <c r="H36" s="18"/>
      <c r="I36" s="18"/>
      <c r="J36" s="18"/>
      <c r="K36" s="16"/>
      <c r="L36" s="16"/>
      <c r="M36" s="16"/>
      <c r="N36" s="16"/>
      <c r="O36" s="18"/>
      <c r="P36" s="18"/>
      <c r="Q36" s="18"/>
      <c r="R36" s="16"/>
      <c r="S36" s="37"/>
      <c r="T36" s="37"/>
      <c r="U36" s="37"/>
      <c r="V36" s="37"/>
      <c r="W36" s="19"/>
      <c r="X36" s="19"/>
      <c r="Y36" s="19"/>
      <c r="Z36" s="19"/>
      <c r="AA36" s="37"/>
      <c r="AB36" s="37"/>
      <c r="AC36" s="37"/>
      <c r="AD36" s="37"/>
      <c r="AE36" s="37"/>
      <c r="AF36" s="174"/>
      <c r="AG36" s="37"/>
      <c r="AH36" s="37"/>
      <c r="AI36" s="37"/>
      <c r="AJ36" s="174"/>
      <c r="AK36" s="37"/>
      <c r="AL36" s="37"/>
      <c r="AM36" s="19"/>
      <c r="AN36" s="33"/>
      <c r="AV36" s="182"/>
      <c r="BB36" s="182"/>
      <c r="BD36" s="182"/>
      <c r="BJ36" s="182"/>
      <c r="BP36" s="182"/>
      <c r="BR36" s="182"/>
    </row>
    <row r="37" spans="1:70">
      <c r="A37" s="14" t="s">
        <v>648</v>
      </c>
      <c r="B37" s="14" t="s">
        <v>182</v>
      </c>
      <c r="C37" s="101"/>
      <c r="D37" s="101">
        <v>2</v>
      </c>
      <c r="E37" s="16"/>
      <c r="F37" s="16"/>
      <c r="G37" s="16"/>
      <c r="H37" s="18"/>
      <c r="I37" s="18"/>
      <c r="J37" s="18"/>
      <c r="K37" s="16"/>
      <c r="L37" s="16"/>
      <c r="M37" s="16"/>
      <c r="N37" s="16"/>
      <c r="O37" s="18"/>
      <c r="P37" s="18"/>
      <c r="Q37" s="18"/>
      <c r="R37" s="16"/>
      <c r="S37" s="37"/>
      <c r="T37" s="37"/>
      <c r="U37" s="37"/>
      <c r="V37" s="37"/>
      <c r="W37" s="19"/>
      <c r="X37" s="19"/>
      <c r="Y37" s="19"/>
      <c r="Z37" s="19"/>
      <c r="AA37" s="37"/>
      <c r="AB37" s="37"/>
      <c r="AC37" s="37"/>
      <c r="AD37" s="37"/>
      <c r="AE37" s="37"/>
      <c r="AF37" s="174"/>
      <c r="AG37" s="37"/>
      <c r="AH37" s="37"/>
      <c r="AI37" s="37"/>
      <c r="AJ37" s="174"/>
      <c r="AK37" s="37"/>
      <c r="AL37" s="37"/>
      <c r="AM37" s="19"/>
      <c r="AN37" s="33"/>
      <c r="AV37" s="182"/>
      <c r="BB37" s="182"/>
      <c r="BD37" s="182"/>
      <c r="BJ37" s="182"/>
      <c r="BP37" s="182"/>
      <c r="BR37" s="182"/>
    </row>
    <row r="38" spans="1:70" s="127" customFormat="1">
      <c r="A38" s="135"/>
      <c r="B38" s="135"/>
      <c r="C38" s="136"/>
      <c r="D38" s="137"/>
      <c r="E38" s="16">
        <f t="shared" ref="E38:AN38" si="28">AVERAGE(E3:E26)</f>
        <v>0.54270833333333335</v>
      </c>
      <c r="F38" s="16">
        <f t="shared" si="28"/>
        <v>0.57856481481481481</v>
      </c>
      <c r="G38" s="16">
        <f t="shared" si="28"/>
        <v>0.66804398148148136</v>
      </c>
      <c r="H38" s="18">
        <f t="shared" si="28"/>
        <v>3.5856481481481524E-2</v>
      </c>
      <c r="I38" s="18">
        <f t="shared" si="28"/>
        <v>1.0300925925926E-2</v>
      </c>
      <c r="J38" s="18">
        <f t="shared" si="28"/>
        <v>0.12533564814814821</v>
      </c>
      <c r="K38" s="16">
        <f t="shared" si="28"/>
        <v>0.13541666666666671</v>
      </c>
      <c r="L38" s="16" t="e">
        <f t="shared" si="28"/>
        <v>#DIV/0!</v>
      </c>
      <c r="M38" s="16" t="e">
        <f t="shared" si="28"/>
        <v>#DIV/0!</v>
      </c>
      <c r="N38" s="16" t="e">
        <f t="shared" si="28"/>
        <v>#DIV/0!</v>
      </c>
      <c r="O38" s="18">
        <f t="shared" si="28"/>
        <v>0</v>
      </c>
      <c r="P38" s="18">
        <f t="shared" si="28"/>
        <v>0</v>
      </c>
      <c r="Q38" s="18">
        <f t="shared" si="28"/>
        <v>0</v>
      </c>
      <c r="R38" s="16">
        <f t="shared" si="28"/>
        <v>0.16145833333333334</v>
      </c>
      <c r="S38" s="158"/>
      <c r="T38" s="158"/>
      <c r="U38" s="158"/>
      <c r="V38" s="158"/>
      <c r="W38" s="158">
        <f t="shared" si="28"/>
        <v>7.9541666666666666</v>
      </c>
      <c r="X38" s="158">
        <f t="shared" si="28"/>
        <v>15</v>
      </c>
      <c r="Y38" s="158">
        <f t="shared" si="28"/>
        <v>4.3458333333333332</v>
      </c>
      <c r="Z38" s="158">
        <f t="shared" si="28"/>
        <v>5</v>
      </c>
      <c r="AA38" s="158">
        <f t="shared" si="28"/>
        <v>8.7749999999999986</v>
      </c>
      <c r="AB38" s="158">
        <f t="shared" si="28"/>
        <v>7.5375000000000005</v>
      </c>
      <c r="AC38" s="158">
        <f t="shared" si="28"/>
        <v>3.6999999999999997</v>
      </c>
      <c r="AD38" s="158">
        <f t="shared" si="28"/>
        <v>2.4208333333333334</v>
      </c>
      <c r="AE38" s="158">
        <f t="shared" si="28"/>
        <v>1.625</v>
      </c>
      <c r="AF38" s="158">
        <f t="shared" si="28"/>
        <v>2.2291666666666665</v>
      </c>
      <c r="AG38" s="158">
        <f t="shared" si="28"/>
        <v>2.3499999999999996</v>
      </c>
      <c r="AH38" s="158">
        <f t="shared" si="28"/>
        <v>1.5750000000000002</v>
      </c>
      <c r="AI38" s="158">
        <f t="shared" si="28"/>
        <v>5.6083333333333334</v>
      </c>
      <c r="AJ38" s="158">
        <f t="shared" si="28"/>
        <v>0.85416666666666663</v>
      </c>
      <c r="AK38" s="158">
        <f t="shared" si="28"/>
        <v>2.8541666666666665</v>
      </c>
      <c r="AL38" s="158" t="e">
        <f t="shared" si="28"/>
        <v>#DIV/0!</v>
      </c>
      <c r="AM38" s="158">
        <f t="shared" si="28"/>
        <v>71.829166666666666</v>
      </c>
      <c r="AN38" s="158">
        <f t="shared" si="28"/>
        <v>4.625</v>
      </c>
      <c r="AO38" s="126"/>
      <c r="AP38" s="126"/>
      <c r="AQ38" s="126">
        <f t="shared" ref="AQ38:BP38" si="29">AVERAGE(AQ3:AQ26)</f>
        <v>13.47291666666667</v>
      </c>
      <c r="AR38" s="126">
        <f t="shared" si="29"/>
        <v>12.889583333333333</v>
      </c>
      <c r="AS38" s="126">
        <f t="shared" si="29"/>
        <v>13.152083333333332</v>
      </c>
      <c r="AT38" s="126"/>
      <c r="AU38" s="126">
        <f t="shared" si="29"/>
        <v>13.375</v>
      </c>
      <c r="AV38" s="183">
        <f t="shared" si="29"/>
        <v>13.201215277777777</v>
      </c>
      <c r="AW38" s="126">
        <f t="shared" si="29"/>
        <v>13.589583333333335</v>
      </c>
      <c r="AX38" s="126">
        <f t="shared" si="29"/>
        <v>12.652083333333337</v>
      </c>
      <c r="AY38" s="126">
        <f t="shared" si="29"/>
        <v>12.889583333333336</v>
      </c>
      <c r="AZ38" s="126">
        <f t="shared" si="29"/>
        <v>13.047499999999999</v>
      </c>
      <c r="BA38" s="126"/>
      <c r="BB38" s="183">
        <f t="shared" si="29"/>
        <v>13.007708333333333</v>
      </c>
      <c r="BC38" s="126">
        <f>AVERAGE(BC3:BC26)</f>
        <v>12</v>
      </c>
      <c r="BD38" s="183"/>
      <c r="BE38" s="126" t="e">
        <f t="shared" si="29"/>
        <v>#DIV/0!</v>
      </c>
      <c r="BF38" s="126"/>
      <c r="BG38" s="126" t="e">
        <f t="shared" si="29"/>
        <v>#DIV/0!</v>
      </c>
      <c r="BH38" s="126" t="e">
        <f t="shared" si="29"/>
        <v>#DIV/0!</v>
      </c>
      <c r="BI38" s="126"/>
      <c r="BJ38" s="183" t="e">
        <f t="shared" si="29"/>
        <v>#DIV/0!</v>
      </c>
      <c r="BK38" s="126" t="e">
        <f t="shared" si="29"/>
        <v>#DIV/0!</v>
      </c>
      <c r="BL38" s="126" t="e">
        <f t="shared" si="29"/>
        <v>#DIV/0!</v>
      </c>
      <c r="BM38" s="126" t="e">
        <f t="shared" si="29"/>
        <v>#DIV/0!</v>
      </c>
      <c r="BN38" s="126" t="e">
        <f t="shared" si="29"/>
        <v>#DIV/0!</v>
      </c>
      <c r="BO38" s="126"/>
      <c r="BP38" s="183" t="e">
        <f t="shared" si="29"/>
        <v>#DIV/0!</v>
      </c>
      <c r="BQ38" s="126">
        <f>AVERAGE(BQ3:BQ26)</f>
        <v>11</v>
      </c>
      <c r="BR38" s="183"/>
    </row>
    <row r="39" spans="1:70">
      <c r="H39" s="151" t="s">
        <v>243</v>
      </c>
    </row>
    <row r="40" spans="1:70">
      <c r="H40" s="151" t="s">
        <v>244</v>
      </c>
    </row>
    <row r="41" spans="1:70">
      <c r="H41" s="151" t="s">
        <v>258</v>
      </c>
    </row>
    <row r="42" spans="1:70">
      <c r="H42" s="151" t="s">
        <v>595</v>
      </c>
    </row>
    <row r="43" spans="1:70">
      <c r="H43" s="151" t="s">
        <v>596</v>
      </c>
    </row>
    <row r="44" spans="1:70">
      <c r="H44" s="151" t="s">
        <v>597</v>
      </c>
    </row>
    <row r="45" spans="1:70">
      <c r="H45" s="151" t="s">
        <v>598</v>
      </c>
    </row>
    <row r="46" spans="1:70">
      <c r="H46" s="151" t="s">
        <v>260</v>
      </c>
    </row>
    <row r="47" spans="1:70">
      <c r="H47" s="151" t="s">
        <v>248</v>
      </c>
    </row>
    <row r="48" spans="1:70">
      <c r="I48" s="151" t="s">
        <v>250</v>
      </c>
      <c r="J48" s="151" t="s">
        <v>252</v>
      </c>
      <c r="K48" s="24" t="s">
        <v>251</v>
      </c>
    </row>
    <row r="49" spans="1:70">
      <c r="H49" s="157"/>
      <c r="I49" s="157">
        <v>0.125</v>
      </c>
      <c r="J49" s="157">
        <v>0</v>
      </c>
      <c r="K49" s="24">
        <v>5</v>
      </c>
      <c r="O49" s="157"/>
      <c r="P49" s="157"/>
      <c r="Q49" s="157"/>
    </row>
    <row r="50" spans="1:70">
      <c r="H50" s="157"/>
      <c r="I50" s="157">
        <v>0.12516203703703704</v>
      </c>
      <c r="J50" s="157">
        <v>0</v>
      </c>
      <c r="K50" s="24">
        <v>5</v>
      </c>
      <c r="O50" s="157"/>
      <c r="P50" s="157"/>
      <c r="Q50" s="157"/>
    </row>
    <row r="51" spans="1:70">
      <c r="H51" s="157"/>
      <c r="I51" s="157">
        <v>0.125173611111111</v>
      </c>
      <c r="J51" s="157">
        <v>0</v>
      </c>
      <c r="K51" s="24">
        <v>5</v>
      </c>
      <c r="O51" s="157"/>
      <c r="P51" s="157"/>
      <c r="Q51" s="157"/>
    </row>
    <row r="52" spans="1:70">
      <c r="H52" s="157"/>
      <c r="I52" s="157">
        <v>0.12518518518518501</v>
      </c>
      <c r="J52" s="157">
        <v>0.1</v>
      </c>
      <c r="K52" s="24">
        <v>4.9000000000000004</v>
      </c>
      <c r="O52" s="157"/>
      <c r="P52" s="157"/>
      <c r="Q52" s="157"/>
    </row>
    <row r="53" spans="1:70" s="24" customFormat="1">
      <c r="A53" s="22"/>
      <c r="B53" s="22"/>
      <c r="C53" s="23"/>
      <c r="D53" s="23"/>
      <c r="H53" s="157"/>
      <c r="I53" s="157" t="s">
        <v>253</v>
      </c>
      <c r="J53" s="157"/>
      <c r="O53" s="157"/>
      <c r="P53" s="157"/>
      <c r="Q53" s="157"/>
      <c r="S53" s="156"/>
      <c r="T53" s="156"/>
      <c r="U53" s="156"/>
      <c r="V53" s="156"/>
      <c r="W53" s="155"/>
      <c r="X53" s="152"/>
      <c r="Y53" s="152"/>
      <c r="Z53" s="152"/>
      <c r="AA53" s="156"/>
      <c r="AB53" s="156"/>
      <c r="AC53" s="156"/>
      <c r="AD53" s="156"/>
      <c r="AE53" s="156"/>
      <c r="AF53" s="156"/>
      <c r="AG53" s="156"/>
      <c r="AH53" s="156"/>
      <c r="AI53" s="156"/>
      <c r="AJ53" s="156"/>
      <c r="AK53" s="156"/>
      <c r="AL53" s="156"/>
      <c r="AM53" s="152"/>
      <c r="AN53" s="152"/>
      <c r="AO53" s="22"/>
      <c r="AP53" s="22"/>
      <c r="AQ53"/>
      <c r="AR53"/>
      <c r="AS53"/>
      <c r="AT53"/>
      <c r="AU53"/>
      <c r="AV53"/>
      <c r="AW53"/>
      <c r="AX53"/>
      <c r="AY53"/>
      <c r="AZ53"/>
      <c r="BA53"/>
      <c r="BB53"/>
      <c r="BC53"/>
      <c r="BD53"/>
      <c r="BE53"/>
      <c r="BF53"/>
      <c r="BG53"/>
      <c r="BH53"/>
      <c r="BI53"/>
      <c r="BJ53"/>
      <c r="BK53"/>
      <c r="BL53"/>
      <c r="BM53"/>
      <c r="BN53"/>
      <c r="BO53"/>
      <c r="BP53"/>
      <c r="BQ53"/>
      <c r="BR53"/>
    </row>
    <row r="54" spans="1:70" s="24" customFormat="1">
      <c r="A54" s="22"/>
      <c r="B54" s="22"/>
      <c r="C54" s="23"/>
      <c r="D54" s="23"/>
      <c r="H54" s="157"/>
      <c r="I54" s="157" t="s">
        <v>253</v>
      </c>
      <c r="J54" s="157"/>
      <c r="O54" s="157"/>
      <c r="P54" s="157"/>
      <c r="Q54" s="157"/>
      <c r="S54" s="156"/>
      <c r="T54" s="156"/>
      <c r="U54" s="156"/>
      <c r="V54" s="156"/>
      <c r="W54" s="155"/>
      <c r="X54" s="152"/>
      <c r="Y54" s="152"/>
      <c r="Z54" s="152"/>
      <c r="AA54" s="156"/>
      <c r="AB54" s="156"/>
      <c r="AC54" s="156"/>
      <c r="AD54" s="156"/>
      <c r="AE54" s="156"/>
      <c r="AF54" s="156"/>
      <c r="AG54" s="156"/>
      <c r="AH54" s="156"/>
      <c r="AI54" s="156"/>
      <c r="AJ54" s="156"/>
      <c r="AK54" s="156"/>
      <c r="AL54" s="156"/>
      <c r="AM54" s="152"/>
      <c r="AN54" s="152"/>
      <c r="AO54" s="22"/>
      <c r="AP54" s="22"/>
      <c r="AQ54"/>
      <c r="AR54"/>
      <c r="AS54"/>
      <c r="AT54"/>
      <c r="AU54"/>
      <c r="AV54"/>
      <c r="AW54"/>
      <c r="AX54"/>
      <c r="AY54"/>
      <c r="AZ54"/>
      <c r="BA54"/>
      <c r="BB54"/>
      <c r="BC54"/>
      <c r="BD54"/>
      <c r="BE54"/>
      <c r="BF54"/>
      <c r="BG54"/>
      <c r="BH54"/>
      <c r="BI54"/>
      <c r="BJ54"/>
      <c r="BK54"/>
      <c r="BL54"/>
      <c r="BM54"/>
      <c r="BN54"/>
      <c r="BO54"/>
      <c r="BP54"/>
      <c r="BQ54"/>
      <c r="BR54"/>
    </row>
    <row r="55" spans="1:70" s="24" customFormat="1">
      <c r="A55" s="22"/>
      <c r="B55" s="22"/>
      <c r="C55" s="23"/>
      <c r="D55" s="23"/>
      <c r="H55" s="157"/>
      <c r="I55" s="157">
        <v>0.12534722222222222</v>
      </c>
      <c r="J55" s="157">
        <v>0.1</v>
      </c>
      <c r="K55" s="24">
        <v>4.9000000000000004</v>
      </c>
      <c r="O55" s="157"/>
      <c r="P55" s="157"/>
      <c r="Q55" s="157"/>
      <c r="S55" s="156"/>
      <c r="T55" s="156"/>
      <c r="U55" s="156"/>
      <c r="V55" s="156"/>
      <c r="W55" s="155"/>
      <c r="X55" s="152"/>
      <c r="Y55" s="152"/>
      <c r="Z55" s="152"/>
      <c r="AA55" s="156"/>
      <c r="AB55" s="156"/>
      <c r="AC55" s="156"/>
      <c r="AD55" s="156"/>
      <c r="AE55" s="156"/>
      <c r="AF55" s="156"/>
      <c r="AG55" s="156"/>
      <c r="AH55" s="156"/>
      <c r="AI55" s="156"/>
      <c r="AJ55" s="156"/>
      <c r="AK55" s="156"/>
      <c r="AL55" s="156"/>
      <c r="AM55" s="152"/>
      <c r="AN55" s="152"/>
      <c r="AO55" s="22"/>
      <c r="AP55" s="22"/>
      <c r="AQ55"/>
      <c r="AR55"/>
      <c r="AS55"/>
      <c r="AT55"/>
      <c r="AU55"/>
      <c r="AV55"/>
      <c r="AW55"/>
      <c r="AX55"/>
      <c r="AY55"/>
      <c r="AZ55"/>
      <c r="BA55"/>
      <c r="BB55"/>
      <c r="BC55"/>
      <c r="BD55"/>
      <c r="BE55"/>
      <c r="BF55"/>
      <c r="BG55"/>
      <c r="BH55"/>
      <c r="BI55"/>
      <c r="BJ55"/>
      <c r="BK55"/>
      <c r="BL55"/>
      <c r="BM55"/>
      <c r="BN55"/>
      <c r="BO55"/>
      <c r="BP55"/>
      <c r="BQ55"/>
      <c r="BR55"/>
    </row>
    <row r="56" spans="1:70" s="24" customFormat="1">
      <c r="A56" s="22"/>
      <c r="B56" s="22"/>
      <c r="C56" s="23"/>
      <c r="D56" s="23"/>
      <c r="H56" s="157"/>
      <c r="I56" s="157" t="s">
        <v>253</v>
      </c>
      <c r="J56" s="157"/>
      <c r="O56" s="157"/>
      <c r="P56" s="157"/>
      <c r="Q56" s="157"/>
      <c r="S56" s="156"/>
      <c r="T56" s="156"/>
      <c r="U56" s="156"/>
      <c r="V56" s="156"/>
      <c r="W56" s="155"/>
      <c r="X56" s="152"/>
      <c r="Y56" s="152"/>
      <c r="Z56" s="152"/>
      <c r="AA56" s="156"/>
      <c r="AB56" s="156"/>
      <c r="AC56" s="156"/>
      <c r="AD56" s="156"/>
      <c r="AE56" s="156"/>
      <c r="AF56" s="156"/>
      <c r="AG56" s="156"/>
      <c r="AH56" s="156"/>
      <c r="AI56" s="156"/>
      <c r="AJ56" s="156"/>
      <c r="AK56" s="156"/>
      <c r="AL56" s="156"/>
      <c r="AM56" s="152"/>
      <c r="AN56" s="152"/>
      <c r="AO56" s="22"/>
      <c r="AP56" s="22"/>
      <c r="AQ56"/>
      <c r="AR56"/>
      <c r="AS56"/>
      <c r="AT56"/>
      <c r="AU56"/>
      <c r="AV56"/>
      <c r="AW56"/>
      <c r="AX56"/>
      <c r="AY56"/>
      <c r="AZ56"/>
      <c r="BA56"/>
      <c r="BB56"/>
      <c r="BC56"/>
      <c r="BD56"/>
      <c r="BE56"/>
      <c r="BF56"/>
      <c r="BG56"/>
      <c r="BH56"/>
      <c r="BI56"/>
      <c r="BJ56"/>
      <c r="BK56"/>
      <c r="BL56"/>
      <c r="BM56"/>
      <c r="BN56"/>
      <c r="BO56"/>
      <c r="BP56"/>
      <c r="BQ56"/>
      <c r="BR56"/>
    </row>
    <row r="57" spans="1:70" s="24" customFormat="1">
      <c r="A57" s="22"/>
      <c r="B57" s="22"/>
      <c r="C57" s="23"/>
      <c r="D57" s="23"/>
      <c r="H57" s="157"/>
      <c r="I57" s="157">
        <v>0.12552083333333333</v>
      </c>
      <c r="J57" s="157">
        <v>0.1</v>
      </c>
      <c r="K57" s="24">
        <v>4.9000000000000004</v>
      </c>
      <c r="O57" s="157"/>
      <c r="P57" s="157"/>
      <c r="Q57" s="157"/>
      <c r="S57" s="156"/>
      <c r="T57" s="156"/>
      <c r="U57" s="156"/>
      <c r="V57" s="156"/>
      <c r="W57" s="155"/>
      <c r="X57" s="152"/>
      <c r="Y57" s="152"/>
      <c r="Z57" s="152"/>
      <c r="AA57" s="156"/>
      <c r="AB57" s="156"/>
      <c r="AC57" s="156"/>
      <c r="AD57" s="156"/>
      <c r="AE57" s="156"/>
      <c r="AF57" s="156"/>
      <c r="AG57" s="156"/>
      <c r="AH57" s="156"/>
      <c r="AI57" s="156"/>
      <c r="AJ57" s="156"/>
      <c r="AK57" s="156"/>
      <c r="AL57" s="156"/>
      <c r="AM57" s="152"/>
      <c r="AN57" s="152"/>
      <c r="AO57" s="22"/>
      <c r="AP57" s="22"/>
      <c r="AQ57"/>
      <c r="AR57"/>
      <c r="AS57"/>
      <c r="AT57"/>
      <c r="AU57"/>
      <c r="AV57"/>
      <c r="AW57"/>
      <c r="AX57"/>
      <c r="AY57"/>
      <c r="AZ57"/>
      <c r="BA57"/>
      <c r="BB57"/>
      <c r="BC57"/>
      <c r="BD57"/>
      <c r="BE57"/>
      <c r="BF57"/>
      <c r="BG57"/>
      <c r="BH57"/>
      <c r="BI57"/>
      <c r="BJ57"/>
      <c r="BK57"/>
      <c r="BL57"/>
      <c r="BM57"/>
      <c r="BN57"/>
      <c r="BO57"/>
      <c r="BP57"/>
      <c r="BQ57"/>
      <c r="BR57"/>
    </row>
    <row r="58" spans="1:70" s="24" customFormat="1">
      <c r="A58" s="22"/>
      <c r="B58" s="22"/>
      <c r="C58" s="23"/>
      <c r="D58" s="23"/>
      <c r="H58" s="157"/>
      <c r="I58" s="157">
        <v>0.12553240740740743</v>
      </c>
      <c r="J58" s="157">
        <v>0.2</v>
      </c>
      <c r="K58" s="24">
        <v>4.8</v>
      </c>
      <c r="O58" s="157"/>
      <c r="P58" s="157"/>
      <c r="Q58" s="157"/>
      <c r="S58" s="156"/>
      <c r="T58" s="156"/>
      <c r="U58" s="156"/>
      <c r="V58" s="156"/>
      <c r="W58" s="155"/>
      <c r="X58" s="152"/>
      <c r="Y58" s="152"/>
      <c r="Z58" s="152"/>
      <c r="AA58" s="156"/>
      <c r="AB58" s="156"/>
      <c r="AC58" s="156"/>
      <c r="AD58" s="156"/>
      <c r="AE58" s="156"/>
      <c r="AF58" s="156"/>
      <c r="AG58" s="156"/>
      <c r="AH58" s="156"/>
      <c r="AI58" s="156"/>
      <c r="AJ58" s="156"/>
      <c r="AK58" s="156"/>
      <c r="AL58" s="156"/>
      <c r="AM58" s="152"/>
      <c r="AN58" s="152"/>
      <c r="AO58" s="22"/>
      <c r="AP58" s="22"/>
      <c r="AQ58"/>
      <c r="AR58"/>
      <c r="AS58"/>
      <c r="AT58"/>
      <c r="AU58"/>
      <c r="AV58"/>
      <c r="AW58"/>
      <c r="AX58"/>
      <c r="AY58"/>
      <c r="AZ58"/>
      <c r="BA58"/>
      <c r="BB58"/>
      <c r="BC58"/>
      <c r="BD58"/>
      <c r="BE58"/>
      <c r="BF58"/>
      <c r="BG58"/>
      <c r="BH58"/>
      <c r="BI58"/>
      <c r="BJ58"/>
      <c r="BK58"/>
      <c r="BL58"/>
      <c r="BM58"/>
      <c r="BN58"/>
      <c r="BO58"/>
      <c r="BP58"/>
      <c r="BQ58"/>
      <c r="BR58"/>
    </row>
    <row r="59" spans="1:70" s="24" customFormat="1">
      <c r="A59" s="22"/>
      <c r="B59" s="22"/>
      <c r="C59" s="23"/>
      <c r="D59" s="23"/>
      <c r="H59" s="157"/>
      <c r="I59" s="157" t="s">
        <v>253</v>
      </c>
      <c r="J59" s="157"/>
      <c r="O59" s="157"/>
      <c r="P59" s="157"/>
      <c r="Q59" s="157"/>
      <c r="S59" s="156"/>
      <c r="T59" s="156"/>
      <c r="U59" s="156"/>
      <c r="V59" s="156"/>
      <c r="W59" s="155"/>
      <c r="X59" s="152"/>
      <c r="Y59" s="152"/>
      <c r="Z59" s="152"/>
      <c r="AA59" s="156"/>
      <c r="AB59" s="156"/>
      <c r="AC59" s="156"/>
      <c r="AD59" s="156"/>
      <c r="AE59" s="156"/>
      <c r="AF59" s="156"/>
      <c r="AG59" s="156"/>
      <c r="AH59" s="156"/>
      <c r="AI59" s="156"/>
      <c r="AJ59" s="156"/>
      <c r="AK59" s="156"/>
      <c r="AL59" s="156"/>
      <c r="AM59" s="152"/>
      <c r="AN59" s="152"/>
      <c r="AO59" s="22"/>
      <c r="AP59" s="22"/>
      <c r="AQ59"/>
      <c r="AR59"/>
      <c r="AS59"/>
      <c r="AT59"/>
      <c r="AU59"/>
      <c r="AV59"/>
      <c r="AW59"/>
      <c r="AX59"/>
      <c r="AY59"/>
      <c r="AZ59"/>
      <c r="BA59"/>
      <c r="BB59"/>
      <c r="BC59"/>
      <c r="BD59"/>
      <c r="BE59"/>
      <c r="BF59"/>
      <c r="BG59"/>
      <c r="BH59"/>
      <c r="BI59"/>
      <c r="BJ59"/>
      <c r="BK59"/>
      <c r="BL59"/>
      <c r="BM59"/>
      <c r="BN59"/>
      <c r="BO59"/>
      <c r="BP59"/>
      <c r="BQ59"/>
      <c r="BR59"/>
    </row>
    <row r="60" spans="1:70" s="24" customFormat="1">
      <c r="A60" s="22"/>
      <c r="B60" s="22"/>
      <c r="C60" s="23"/>
      <c r="D60" s="23"/>
      <c r="H60" s="157"/>
      <c r="I60" s="157">
        <v>0.12586805555555555</v>
      </c>
      <c r="J60" s="157">
        <v>0.2</v>
      </c>
      <c r="K60" s="24">
        <v>4.8</v>
      </c>
      <c r="O60" s="157"/>
      <c r="P60" s="157"/>
      <c r="Q60" s="157"/>
      <c r="S60" s="156"/>
      <c r="T60" s="156"/>
      <c r="U60" s="156"/>
      <c r="V60" s="156"/>
      <c r="W60" s="155"/>
      <c r="X60" s="152"/>
      <c r="Y60" s="152"/>
      <c r="Z60" s="152"/>
      <c r="AA60" s="156"/>
      <c r="AB60" s="156"/>
      <c r="AC60" s="156"/>
      <c r="AD60" s="156"/>
      <c r="AE60" s="156"/>
      <c r="AF60" s="156"/>
      <c r="AG60" s="156"/>
      <c r="AH60" s="156"/>
      <c r="AI60" s="156"/>
      <c r="AJ60" s="156"/>
      <c r="AK60" s="156"/>
      <c r="AL60" s="156"/>
      <c r="AM60" s="152"/>
      <c r="AN60" s="152"/>
      <c r="AO60" s="22"/>
      <c r="AP60" s="22"/>
      <c r="AQ60"/>
      <c r="AR60"/>
      <c r="AS60"/>
      <c r="AT60"/>
      <c r="AU60"/>
      <c r="AV60"/>
      <c r="AW60"/>
      <c r="AX60"/>
      <c r="AY60"/>
      <c r="AZ60"/>
      <c r="BA60"/>
      <c r="BB60"/>
      <c r="BC60"/>
      <c r="BD60"/>
      <c r="BE60"/>
      <c r="BF60"/>
      <c r="BG60"/>
      <c r="BH60"/>
      <c r="BI60"/>
      <c r="BJ60"/>
      <c r="BK60"/>
      <c r="BL60"/>
      <c r="BM60"/>
      <c r="BN60"/>
      <c r="BO60"/>
      <c r="BP60"/>
      <c r="BQ60"/>
      <c r="BR60"/>
    </row>
    <row r="61" spans="1:70" s="24" customFormat="1">
      <c r="A61" s="22"/>
      <c r="B61" s="22"/>
      <c r="C61" s="23"/>
      <c r="D61" s="23"/>
      <c r="H61" s="157"/>
      <c r="I61" s="157">
        <v>0.12587962962962965</v>
      </c>
      <c r="J61" s="157">
        <v>0.3</v>
      </c>
      <c r="K61" s="24">
        <v>4.7</v>
      </c>
      <c r="O61" s="157"/>
      <c r="P61" s="157"/>
      <c r="Q61" s="157"/>
      <c r="S61" s="156"/>
      <c r="T61" s="156"/>
      <c r="U61" s="156"/>
      <c r="V61" s="156"/>
      <c r="W61" s="155"/>
      <c r="X61" s="152"/>
      <c r="Y61" s="152"/>
      <c r="Z61" s="152"/>
      <c r="AA61" s="156"/>
      <c r="AB61" s="156"/>
      <c r="AC61" s="156"/>
      <c r="AD61" s="156"/>
      <c r="AE61" s="156"/>
      <c r="AF61" s="156"/>
      <c r="AG61" s="156"/>
      <c r="AH61" s="156"/>
      <c r="AI61" s="156"/>
      <c r="AJ61" s="156"/>
      <c r="AK61" s="156"/>
      <c r="AL61" s="156"/>
      <c r="AM61" s="152"/>
      <c r="AN61" s="152"/>
      <c r="AO61" s="22"/>
      <c r="AP61" s="22"/>
      <c r="AQ61"/>
      <c r="AR61"/>
      <c r="AS61"/>
      <c r="AT61"/>
      <c r="AU61"/>
      <c r="AV61"/>
      <c r="AW61"/>
      <c r="AX61"/>
      <c r="AY61"/>
      <c r="AZ61"/>
      <c r="BA61"/>
      <c r="BB61"/>
      <c r="BC61"/>
      <c r="BD61"/>
      <c r="BE61"/>
      <c r="BF61"/>
      <c r="BG61"/>
      <c r="BH61"/>
      <c r="BI61"/>
      <c r="BJ61"/>
      <c r="BK61"/>
      <c r="BL61"/>
      <c r="BM61"/>
      <c r="BN61"/>
      <c r="BO61"/>
      <c r="BP61"/>
      <c r="BQ61"/>
      <c r="BR61"/>
    </row>
    <row r="62" spans="1:70" s="24" customFormat="1">
      <c r="A62" s="22"/>
      <c r="B62" s="22"/>
      <c r="C62" s="23"/>
      <c r="D62" s="23"/>
      <c r="H62" s="151"/>
      <c r="I62" s="151" t="s">
        <v>253</v>
      </c>
      <c r="J62" s="151"/>
      <c r="O62" s="151"/>
      <c r="P62" s="151"/>
      <c r="Q62" s="151"/>
      <c r="S62" s="156"/>
      <c r="T62" s="156"/>
      <c r="U62" s="156"/>
      <c r="V62" s="156"/>
      <c r="W62" s="155"/>
      <c r="X62" s="152"/>
      <c r="Y62" s="152"/>
      <c r="Z62" s="152"/>
      <c r="AA62" s="156"/>
      <c r="AB62" s="156"/>
      <c r="AC62" s="156"/>
      <c r="AD62" s="156"/>
      <c r="AE62" s="156"/>
      <c r="AF62" s="156"/>
      <c r="AG62" s="156"/>
      <c r="AH62" s="156"/>
      <c r="AI62" s="156"/>
      <c r="AJ62" s="156"/>
      <c r="AK62" s="156"/>
      <c r="AL62" s="156"/>
      <c r="AM62" s="152"/>
      <c r="AN62" s="152"/>
      <c r="AO62" s="22"/>
      <c r="AP62" s="22"/>
      <c r="AQ62"/>
      <c r="AR62"/>
      <c r="AS62"/>
      <c r="AT62"/>
      <c r="AU62"/>
      <c r="AV62"/>
      <c r="AW62"/>
      <c r="AX62"/>
      <c r="AY62"/>
      <c r="AZ62"/>
      <c r="BA62"/>
      <c r="BB62"/>
      <c r="BC62"/>
      <c r="BD62"/>
      <c r="BE62"/>
      <c r="BF62"/>
      <c r="BG62"/>
      <c r="BH62"/>
      <c r="BI62"/>
      <c r="BJ62"/>
      <c r="BK62"/>
      <c r="BL62"/>
      <c r="BM62"/>
      <c r="BN62"/>
      <c r="BO62"/>
      <c r="BP62"/>
      <c r="BQ62"/>
      <c r="BR62"/>
    </row>
    <row r="63" spans="1:70" s="24" customFormat="1">
      <c r="A63" s="22"/>
      <c r="B63" s="22"/>
      <c r="C63" s="23"/>
      <c r="D63" s="23"/>
      <c r="H63" s="151" t="s">
        <v>254</v>
      </c>
      <c r="I63" s="151"/>
      <c r="J63" s="151"/>
      <c r="O63" s="151"/>
      <c r="P63" s="151"/>
      <c r="Q63" s="151"/>
      <c r="S63" s="156"/>
      <c r="T63" s="156"/>
      <c r="U63" s="156"/>
      <c r="V63" s="156"/>
      <c r="W63" s="155"/>
      <c r="X63" s="152"/>
      <c r="Y63" s="152"/>
      <c r="Z63" s="152"/>
      <c r="AA63" s="156"/>
      <c r="AB63" s="156"/>
      <c r="AC63" s="156"/>
      <c r="AD63" s="156"/>
      <c r="AE63" s="156"/>
      <c r="AF63" s="156"/>
      <c r="AG63" s="156"/>
      <c r="AH63" s="156"/>
      <c r="AI63" s="156"/>
      <c r="AJ63" s="156"/>
      <c r="AK63" s="156"/>
      <c r="AL63" s="156"/>
      <c r="AM63" s="152"/>
      <c r="AN63" s="152"/>
      <c r="AO63" s="22"/>
      <c r="AP63" s="22"/>
      <c r="AQ63"/>
      <c r="AR63"/>
      <c r="AS63"/>
      <c r="AT63"/>
      <c r="AU63"/>
      <c r="AV63"/>
      <c r="AW63"/>
      <c r="AX63"/>
      <c r="AY63"/>
      <c r="AZ63"/>
      <c r="BA63"/>
      <c r="BB63"/>
      <c r="BC63"/>
      <c r="BD63"/>
      <c r="BE63"/>
      <c r="BF63"/>
      <c r="BG63"/>
      <c r="BH63"/>
      <c r="BI63"/>
      <c r="BJ63"/>
      <c r="BK63"/>
      <c r="BL63"/>
      <c r="BM63"/>
      <c r="BN63"/>
      <c r="BO63"/>
      <c r="BP63"/>
      <c r="BQ63"/>
      <c r="BR63"/>
    </row>
    <row r="64" spans="1:70" s="24" customFormat="1">
      <c r="A64" s="22"/>
      <c r="B64" s="22"/>
      <c r="C64" s="23"/>
      <c r="D64" s="23"/>
      <c r="H64" s="151" t="s">
        <v>599</v>
      </c>
      <c r="I64" s="151"/>
      <c r="J64" s="151"/>
      <c r="O64" s="151"/>
      <c r="P64" s="151"/>
      <c r="Q64" s="151"/>
      <c r="S64" s="156"/>
      <c r="T64" s="156"/>
      <c r="U64" s="156"/>
      <c r="V64" s="156"/>
      <c r="W64" s="155"/>
      <c r="X64" s="152"/>
      <c r="Y64" s="152"/>
      <c r="Z64" s="152"/>
      <c r="AA64" s="156"/>
      <c r="AB64" s="156"/>
      <c r="AC64" s="156"/>
      <c r="AD64" s="156"/>
      <c r="AE64" s="156"/>
      <c r="AF64" s="156"/>
      <c r="AG64" s="156"/>
      <c r="AH64" s="156"/>
      <c r="AI64" s="156"/>
      <c r="AJ64" s="156"/>
      <c r="AK64" s="156"/>
      <c r="AL64" s="156"/>
      <c r="AM64" s="152"/>
      <c r="AN64" s="152"/>
      <c r="AO64" s="22"/>
      <c r="AP64" s="22"/>
      <c r="AQ64"/>
      <c r="AR64"/>
      <c r="AS64"/>
      <c r="AT64"/>
      <c r="AU64"/>
      <c r="AV64"/>
      <c r="AW64"/>
      <c r="AX64"/>
      <c r="AY64"/>
      <c r="AZ64"/>
      <c r="BA64"/>
      <c r="BB64"/>
      <c r="BC64"/>
      <c r="BD64"/>
      <c r="BE64"/>
      <c r="BF64"/>
      <c r="BG64"/>
      <c r="BH64"/>
      <c r="BI64"/>
      <c r="BJ64"/>
      <c r="BK64"/>
      <c r="BL64"/>
      <c r="BM64"/>
      <c r="BN64"/>
      <c r="BO64"/>
      <c r="BP64"/>
      <c r="BQ64"/>
      <c r="BR64"/>
    </row>
    <row r="65" spans="1:70" s="24" customFormat="1">
      <c r="A65" s="22"/>
      <c r="B65" s="22"/>
      <c r="C65" s="23"/>
      <c r="D65" s="23"/>
      <c r="H65" s="151" t="s">
        <v>255</v>
      </c>
      <c r="I65" s="151"/>
      <c r="J65" s="151"/>
      <c r="O65" s="151"/>
      <c r="P65" s="151"/>
      <c r="Q65" s="151"/>
      <c r="S65" s="156"/>
      <c r="T65" s="156"/>
      <c r="U65" s="156"/>
      <c r="V65" s="156"/>
      <c r="W65" s="155"/>
      <c r="X65" s="152"/>
      <c r="Y65" s="152"/>
      <c r="Z65" s="152"/>
      <c r="AA65" s="156"/>
      <c r="AB65" s="156"/>
      <c r="AC65" s="156"/>
      <c r="AD65" s="156"/>
      <c r="AE65" s="156"/>
      <c r="AF65" s="156"/>
      <c r="AG65" s="156"/>
      <c r="AH65" s="156"/>
      <c r="AI65" s="156"/>
      <c r="AJ65" s="156"/>
      <c r="AK65" s="156"/>
      <c r="AL65" s="156"/>
      <c r="AM65" s="152"/>
      <c r="AN65" s="152"/>
      <c r="AO65" s="22"/>
      <c r="AP65" s="22"/>
      <c r="AQ65"/>
      <c r="AR65"/>
      <c r="AS65"/>
      <c r="AT65"/>
      <c r="AU65"/>
      <c r="AV65"/>
      <c r="AW65"/>
      <c r="AX65"/>
      <c r="AY65"/>
      <c r="AZ65"/>
      <c r="BA65"/>
      <c r="BB65"/>
      <c r="BC65"/>
      <c r="BD65"/>
      <c r="BE65"/>
      <c r="BF65"/>
      <c r="BG65"/>
      <c r="BH65"/>
      <c r="BI65"/>
      <c r="BJ65"/>
      <c r="BK65"/>
      <c r="BL65"/>
      <c r="BM65"/>
      <c r="BN65"/>
      <c r="BO65"/>
      <c r="BP65"/>
      <c r="BQ65"/>
      <c r="BR65"/>
    </row>
    <row r="66" spans="1:70" s="24" customFormat="1">
      <c r="A66" s="22"/>
      <c r="B66" s="22"/>
      <c r="C66" s="23"/>
      <c r="D66" s="23"/>
      <c r="H66" s="151" t="s">
        <v>256</v>
      </c>
      <c r="I66" s="151"/>
      <c r="J66" s="151"/>
      <c r="O66" s="151"/>
      <c r="P66" s="151"/>
      <c r="Q66" s="151"/>
      <c r="S66" s="156"/>
      <c r="T66" s="156"/>
      <c r="U66" s="156"/>
      <c r="V66" s="156"/>
      <c r="W66" s="155"/>
      <c r="X66" s="152"/>
      <c r="Y66" s="152"/>
      <c r="Z66" s="152"/>
      <c r="AA66" s="156"/>
      <c r="AB66" s="156"/>
      <c r="AC66" s="156"/>
      <c r="AD66" s="156"/>
      <c r="AE66" s="156"/>
      <c r="AF66" s="156"/>
      <c r="AG66" s="156"/>
      <c r="AH66" s="156"/>
      <c r="AI66" s="156"/>
      <c r="AJ66" s="156"/>
      <c r="AK66" s="156"/>
      <c r="AL66" s="156"/>
      <c r="AM66" s="152"/>
      <c r="AN66" s="152"/>
      <c r="AO66" s="22"/>
      <c r="AP66" s="22"/>
      <c r="AQ66"/>
      <c r="AR66"/>
      <c r="AS66"/>
      <c r="AT66"/>
      <c r="AU66"/>
      <c r="AV66"/>
      <c r="AW66"/>
      <c r="AX66"/>
      <c r="AY66"/>
      <c r="AZ66"/>
      <c r="BA66"/>
      <c r="BB66"/>
      <c r="BC66"/>
      <c r="BD66"/>
      <c r="BE66"/>
      <c r="BF66"/>
      <c r="BG66"/>
      <c r="BH66"/>
      <c r="BI66"/>
      <c r="BJ66"/>
      <c r="BK66"/>
      <c r="BL66"/>
      <c r="BM66"/>
      <c r="BN66"/>
      <c r="BO66"/>
      <c r="BP66"/>
      <c r="BQ66"/>
      <c r="BR66"/>
    </row>
    <row r="67" spans="1:70" s="24" customFormat="1">
      <c r="A67" s="22"/>
      <c r="B67" s="22"/>
      <c r="C67" s="23"/>
      <c r="D67" s="23"/>
      <c r="H67" s="151" t="s">
        <v>259</v>
      </c>
      <c r="I67" s="151"/>
      <c r="J67" s="151"/>
      <c r="O67" s="151"/>
      <c r="P67" s="151"/>
      <c r="Q67" s="151"/>
      <c r="S67" s="156"/>
      <c r="T67" s="156"/>
      <c r="U67" s="156"/>
      <c r="V67" s="156"/>
      <c r="W67" s="155"/>
      <c r="X67" s="152"/>
      <c r="Y67" s="152"/>
      <c r="Z67" s="152"/>
      <c r="AA67" s="156"/>
      <c r="AB67" s="156"/>
      <c r="AC67" s="156"/>
      <c r="AD67" s="156"/>
      <c r="AE67" s="156"/>
      <c r="AF67" s="156"/>
      <c r="AG67" s="156"/>
      <c r="AH67" s="156"/>
      <c r="AI67" s="156"/>
      <c r="AJ67" s="156"/>
      <c r="AK67" s="156"/>
      <c r="AL67" s="156"/>
      <c r="AM67" s="152"/>
      <c r="AN67" s="152"/>
      <c r="AO67" s="22"/>
      <c r="AP67" s="22"/>
      <c r="AQ67"/>
      <c r="AR67"/>
      <c r="AS67"/>
      <c r="AT67"/>
      <c r="AU67"/>
      <c r="AV67"/>
      <c r="AW67"/>
      <c r="AX67"/>
      <c r="AY67"/>
      <c r="AZ67"/>
      <c r="BA67"/>
      <c r="BB67"/>
      <c r="BC67"/>
      <c r="BD67"/>
      <c r="BE67"/>
      <c r="BF67"/>
      <c r="BG67"/>
      <c r="BH67"/>
      <c r="BI67"/>
      <c r="BJ67"/>
      <c r="BK67"/>
      <c r="BL67"/>
      <c r="BM67"/>
      <c r="BN67"/>
      <c r="BO67"/>
      <c r="BP67"/>
      <c r="BQ67"/>
      <c r="BR67"/>
    </row>
    <row r="69" spans="1:70">
      <c r="H69" s="151" t="s">
        <v>659</v>
      </c>
    </row>
  </sheetData>
  <phoneticPr fontId="3"/>
  <conditionalFormatting sqref="AV3:AV27 BB3:BB27">
    <cfRule type="cellIs" dxfId="23" priority="2" stopIfTrue="1" operator="lessThanOrEqual">
      <formula>12</formula>
    </cfRule>
  </conditionalFormatting>
  <conditionalFormatting sqref="BJ3:BJ30 BP3:BP27">
    <cfRule type="cellIs" dxfId="22" priority="1" stopIfTrue="1" operator="lessThanOrEqual">
      <formula>11</formula>
    </cfRule>
  </conditionalFormatting>
  <pageMargins left="0.23" right="0.2" top="0.98399999999999999" bottom="0.98399999999999999" header="0.51200000000000001" footer="0.51200000000000001"/>
  <pageSetup paperSize="9" scale="45"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BR69"/>
  <sheetViews>
    <sheetView view="pageBreakPreview" zoomScale="85" zoomScaleNormal="100" zoomScaleSheetLayoutView="85" workbookViewId="0">
      <pane xSplit="2" ySplit="1" topLeftCell="C2" activePane="bottomRight" state="frozen"/>
      <selection pane="topRight" activeCell="C1" sqref="C1"/>
      <selection pane="bottomLeft" activeCell="A2" sqref="A2"/>
      <selection pane="bottomRight" activeCell="H5" sqref="H5"/>
    </sheetView>
  </sheetViews>
  <sheetFormatPr defaultRowHeight="13.5"/>
  <cols>
    <col min="1" max="1" width="3.75" style="22" bestFit="1" customWidth="1"/>
    <col min="2" max="2" width="15" style="22" bestFit="1" customWidth="1"/>
    <col min="3" max="3" width="6.625" style="23" customWidth="1"/>
    <col min="4" max="4" width="5.75" style="23" customWidth="1"/>
    <col min="5" max="6" width="8.25" style="24" customWidth="1"/>
    <col min="7" max="7" width="7.875" style="24" customWidth="1"/>
    <col min="8" max="10" width="7.5" style="151" customWidth="1"/>
    <col min="11" max="13" width="7.25" style="24" customWidth="1"/>
    <col min="14" max="14" width="8.125" style="24" customWidth="1"/>
    <col min="15" max="17" width="7.5" style="151" customWidth="1"/>
    <col min="18" max="18" width="7.25" style="24" customWidth="1"/>
    <col min="19" max="22" width="7.125" style="156" customWidth="1"/>
    <col min="23" max="23" width="7.125" style="155" customWidth="1"/>
    <col min="24" max="26" width="7.125" style="152" customWidth="1"/>
    <col min="27" max="38" width="7.125" style="156" customWidth="1"/>
    <col min="39" max="39" width="6.75" style="152" customWidth="1"/>
    <col min="40" max="40" width="5.75" style="152" customWidth="1"/>
    <col min="41" max="41" width="19.25" style="22" customWidth="1"/>
    <col min="42" max="42" width="9" style="22"/>
  </cols>
  <sheetData>
    <row r="1" spans="1:70" s="6" customFormat="1">
      <c r="A1" s="1" t="s">
        <v>87</v>
      </c>
      <c r="B1" s="1" t="s">
        <v>88</v>
      </c>
      <c r="C1" s="8" t="s">
        <v>89</v>
      </c>
      <c r="D1" s="8" t="s">
        <v>228</v>
      </c>
      <c r="E1" s="2" t="s">
        <v>106</v>
      </c>
      <c r="F1" s="2" t="s">
        <v>107</v>
      </c>
      <c r="G1" s="2" t="s">
        <v>108</v>
      </c>
      <c r="H1" s="3" t="s">
        <v>91</v>
      </c>
      <c r="I1" s="3" t="s">
        <v>92</v>
      </c>
      <c r="J1" s="3" t="s">
        <v>239</v>
      </c>
      <c r="K1" s="2" t="s">
        <v>240</v>
      </c>
      <c r="L1" s="2" t="s">
        <v>109</v>
      </c>
      <c r="M1" s="2" t="s">
        <v>110</v>
      </c>
      <c r="N1" s="2" t="s">
        <v>111</v>
      </c>
      <c r="O1" s="3" t="s">
        <v>93</v>
      </c>
      <c r="P1" s="3" t="s">
        <v>94</v>
      </c>
      <c r="Q1" s="3" t="s">
        <v>241</v>
      </c>
      <c r="R1" s="2" t="s">
        <v>242</v>
      </c>
      <c r="S1" s="35" t="s">
        <v>594</v>
      </c>
      <c r="T1" s="35" t="s">
        <v>291</v>
      </c>
      <c r="U1" s="35" t="s">
        <v>650</v>
      </c>
      <c r="V1" s="35" t="s">
        <v>651</v>
      </c>
      <c r="W1" s="4" t="s">
        <v>95</v>
      </c>
      <c r="X1" s="5" t="s">
        <v>96</v>
      </c>
      <c r="Y1" s="5" t="s">
        <v>637</v>
      </c>
      <c r="Z1" s="5" t="s">
        <v>638</v>
      </c>
      <c r="AA1" s="35" t="s">
        <v>97</v>
      </c>
      <c r="AB1" s="35" t="s">
        <v>2</v>
      </c>
      <c r="AC1" s="35" t="s">
        <v>3</v>
      </c>
      <c r="AD1" s="35" t="s">
        <v>4</v>
      </c>
      <c r="AE1" s="35" t="s">
        <v>214</v>
      </c>
      <c r="AF1" s="172" t="s">
        <v>5</v>
      </c>
      <c r="AG1" s="35" t="s">
        <v>6</v>
      </c>
      <c r="AH1" s="35" t="s">
        <v>7</v>
      </c>
      <c r="AI1" s="35" t="s">
        <v>8</v>
      </c>
      <c r="AJ1" s="172" t="s">
        <v>9</v>
      </c>
      <c r="AK1" s="35" t="s">
        <v>10</v>
      </c>
      <c r="AL1" s="35" t="s">
        <v>11</v>
      </c>
      <c r="AM1" s="5" t="s">
        <v>12</v>
      </c>
      <c r="AN1" s="5" t="s">
        <v>98</v>
      </c>
      <c r="AO1" s="6" t="s">
        <v>105</v>
      </c>
      <c r="AP1" s="6" t="s">
        <v>190</v>
      </c>
      <c r="AQ1" s="6" t="s">
        <v>289</v>
      </c>
      <c r="AV1" s="178"/>
      <c r="AW1" s="6" t="s">
        <v>288</v>
      </c>
      <c r="BB1" s="178" t="s">
        <v>654</v>
      </c>
      <c r="BC1" s="184" t="s">
        <v>653</v>
      </c>
      <c r="BD1" s="178" t="s">
        <v>656</v>
      </c>
      <c r="BE1" s="6" t="s">
        <v>286</v>
      </c>
      <c r="BJ1" s="178"/>
      <c r="BK1" s="6" t="s">
        <v>287</v>
      </c>
      <c r="BP1" s="178" t="s">
        <v>655</v>
      </c>
      <c r="BQ1" s="184" t="s">
        <v>657</v>
      </c>
      <c r="BR1" s="178" t="s">
        <v>658</v>
      </c>
    </row>
    <row r="2" spans="1:70" s="13" customFormat="1">
      <c r="A2" s="7"/>
      <c r="B2" s="7" t="s">
        <v>649</v>
      </c>
      <c r="C2" s="8"/>
      <c r="D2" s="8"/>
      <c r="E2" s="9"/>
      <c r="F2" s="9"/>
      <c r="G2" s="9"/>
      <c r="H2" s="11"/>
      <c r="I2" s="11"/>
      <c r="J2" s="11"/>
      <c r="K2" s="9"/>
      <c r="L2" s="9"/>
      <c r="M2" s="9"/>
      <c r="N2" s="9"/>
      <c r="O2" s="11"/>
      <c r="P2" s="11"/>
      <c r="Q2" s="11"/>
      <c r="R2" s="9"/>
      <c r="S2" s="36">
        <v>4</v>
      </c>
      <c r="T2" s="36">
        <v>3</v>
      </c>
      <c r="U2" s="36">
        <v>1</v>
      </c>
      <c r="V2" s="36">
        <v>3</v>
      </c>
      <c r="W2" s="12">
        <v>15</v>
      </c>
      <c r="X2" s="12">
        <v>15</v>
      </c>
      <c r="Y2" s="12">
        <v>5</v>
      </c>
      <c r="Z2" s="12">
        <v>5</v>
      </c>
      <c r="AA2" s="36">
        <v>10</v>
      </c>
      <c r="AB2" s="36">
        <v>8</v>
      </c>
      <c r="AC2" s="36">
        <v>4</v>
      </c>
      <c r="AD2" s="36">
        <v>5</v>
      </c>
      <c r="AE2" s="36">
        <v>2</v>
      </c>
      <c r="AF2" s="173">
        <v>7</v>
      </c>
      <c r="AG2" s="36">
        <v>4</v>
      </c>
      <c r="AH2" s="36">
        <v>2</v>
      </c>
      <c r="AI2" s="36">
        <v>6</v>
      </c>
      <c r="AJ2" s="173">
        <v>4</v>
      </c>
      <c r="AK2" s="36">
        <v>3</v>
      </c>
      <c r="AL2" s="36">
        <v>5</v>
      </c>
      <c r="AM2" s="12">
        <f t="shared" ref="AM2:AM26" si="0">SUM(W2:AL2)</f>
        <v>100</v>
      </c>
      <c r="AN2" s="32"/>
      <c r="AQ2" s="13">
        <v>1</v>
      </c>
      <c r="AR2" s="13">
        <v>2</v>
      </c>
      <c r="AS2" s="13">
        <v>3</v>
      </c>
      <c r="AT2" s="13">
        <v>4</v>
      </c>
      <c r="AU2" s="13">
        <v>5</v>
      </c>
      <c r="AV2" s="179" t="s">
        <v>613</v>
      </c>
      <c r="AW2" s="13">
        <v>1</v>
      </c>
      <c r="AX2" s="13">
        <v>2</v>
      </c>
      <c r="AY2" s="13">
        <v>3</v>
      </c>
      <c r="AZ2" s="13">
        <v>4</v>
      </c>
      <c r="BA2" s="13">
        <v>5</v>
      </c>
      <c r="BB2" s="179" t="s">
        <v>613</v>
      </c>
      <c r="BD2" s="179"/>
      <c r="BE2" s="13">
        <v>1</v>
      </c>
      <c r="BF2" s="13">
        <v>2</v>
      </c>
      <c r="BG2" s="13">
        <v>3</v>
      </c>
      <c r="BH2" s="13">
        <v>4</v>
      </c>
      <c r="BI2" s="13">
        <v>5</v>
      </c>
      <c r="BJ2" s="179" t="s">
        <v>613</v>
      </c>
      <c r="BK2" s="13">
        <v>1</v>
      </c>
      <c r="BL2" s="13">
        <v>2</v>
      </c>
      <c r="BM2" s="13">
        <v>3</v>
      </c>
      <c r="BN2" s="13">
        <v>4</v>
      </c>
      <c r="BO2" s="13">
        <v>5</v>
      </c>
      <c r="BP2" s="179" t="s">
        <v>613</v>
      </c>
      <c r="BR2" s="179"/>
    </row>
    <row r="3" spans="1:70">
      <c r="A3" s="14" t="s">
        <v>99</v>
      </c>
      <c r="B3" s="14" t="s">
        <v>123</v>
      </c>
      <c r="C3" s="101" t="s">
        <v>269</v>
      </c>
      <c r="D3" s="101">
        <v>4</v>
      </c>
      <c r="E3" s="16">
        <v>0.53472222222222221</v>
      </c>
      <c r="F3" s="16">
        <v>0.55876157407407401</v>
      </c>
      <c r="G3" s="16">
        <v>0.65622685185185181</v>
      </c>
      <c r="H3" s="18">
        <f t="shared" ref="H3:H26" si="1">F3-E3</f>
        <v>2.4039351851851798E-2</v>
      </c>
      <c r="I3" s="18">
        <f t="shared" ref="I3:I20" si="2">H3-MIN(H$3:H$20)</f>
        <v>2.6041666666665186E-3</v>
      </c>
      <c r="J3" s="18">
        <f t="shared" ref="J3:J9" si="3">G3-E3</f>
        <v>0.1215046296296296</v>
      </c>
      <c r="K3" s="16">
        <v>0.13194444444444445</v>
      </c>
      <c r="L3" s="16">
        <v>0.30972222222222223</v>
      </c>
      <c r="M3" s="16">
        <v>0.33274305555555556</v>
      </c>
      <c r="N3" s="16">
        <v>0.44618055555555558</v>
      </c>
      <c r="O3" s="18">
        <f t="shared" ref="O3:O26" si="4">M3-L3</f>
        <v>2.3020833333333324E-2</v>
      </c>
      <c r="P3" s="18">
        <f t="shared" ref="P3:P20" si="5">O3-MIN(O$3:O$20)</f>
        <v>3.4722222222222099E-4</v>
      </c>
      <c r="Q3" s="18">
        <f t="shared" ref="Q3:Q9" si="6">N3-L3</f>
        <v>0.13645833333333335</v>
      </c>
      <c r="R3" s="16">
        <v>0.15972222222222224</v>
      </c>
      <c r="S3" s="37">
        <v>4</v>
      </c>
      <c r="T3" s="37">
        <v>3</v>
      </c>
      <c r="U3" s="37">
        <v>1</v>
      </c>
      <c r="V3" s="37">
        <v>2</v>
      </c>
      <c r="W3" s="19">
        <f>ROUND(MAX(W$2-I3*60*24*0.5+BD3,0),1)</f>
        <v>13.1</v>
      </c>
      <c r="X3" s="19">
        <f>ROUND(MAX(X$2-P3*60*24*0.5+BR3,0),1)</f>
        <v>14.8</v>
      </c>
      <c r="Y3" s="19">
        <f t="shared" ref="Y3:Y26" si="7">ROUND(MAX(MIN(Y$2+(K3-J3)*60*24*0.2,$Y$2),0),1)</f>
        <v>5</v>
      </c>
      <c r="Z3" s="19">
        <f t="shared" ref="Z3:Z26" si="8">ROUND(MAX(MIN($Z$2+(R3-Q3)*60*24*0.2,$Z$2),0),1)</f>
        <v>5</v>
      </c>
      <c r="AA3" s="37">
        <v>10</v>
      </c>
      <c r="AB3" s="37">
        <v>8</v>
      </c>
      <c r="AC3" s="37">
        <v>4</v>
      </c>
      <c r="AD3" s="37">
        <v>4.4000000000000004</v>
      </c>
      <c r="AE3" s="37">
        <v>1.6</v>
      </c>
      <c r="AF3" s="174">
        <f t="shared" ref="AF3:AF26" si="9">SUM(S3:T3)</f>
        <v>7</v>
      </c>
      <c r="AG3" s="37">
        <v>3.8</v>
      </c>
      <c r="AH3" s="37">
        <v>2</v>
      </c>
      <c r="AI3" s="37">
        <v>6</v>
      </c>
      <c r="AJ3" s="174">
        <f t="shared" ref="AJ3:AJ26" si="10">SUM(U3:V3)</f>
        <v>3</v>
      </c>
      <c r="AK3" s="37">
        <v>3</v>
      </c>
      <c r="AL3" s="37">
        <v>4.9000000000000004</v>
      </c>
      <c r="AM3" s="19">
        <f t="shared" si="0"/>
        <v>95.6</v>
      </c>
      <c r="AN3" s="33">
        <f t="shared" ref="AN3:AN8" si="11">RANK(AM3,$AM$3:$AM$8)</f>
        <v>2</v>
      </c>
      <c r="AP3" s="22">
        <f t="shared" ref="AP3:AP8" si="12">RANK(I3,$I$3:$I$8,1)</f>
        <v>2</v>
      </c>
      <c r="AQ3" s="127">
        <v>12.9</v>
      </c>
      <c r="AR3" s="127">
        <v>10.95</v>
      </c>
      <c r="AS3" s="127">
        <v>11.25</v>
      </c>
      <c r="AT3" s="127">
        <v>13.3</v>
      </c>
      <c r="AU3" s="127"/>
      <c r="AV3" s="180">
        <f>AVERAGE(AQ3:AU3)</f>
        <v>12.100000000000001</v>
      </c>
      <c r="AW3" s="127">
        <v>12.8</v>
      </c>
      <c r="AX3" s="127">
        <v>11</v>
      </c>
      <c r="AY3" s="127">
        <v>13.25</v>
      </c>
      <c r="AZ3" s="127">
        <v>11.3</v>
      </c>
      <c r="BB3" s="181">
        <f>AVERAGE(AW3:AZ3)</f>
        <v>12.087499999999999</v>
      </c>
      <c r="BC3" s="43">
        <v>12</v>
      </c>
      <c r="BD3" s="185">
        <f>IF(ISERR(BB3),0,IF(BB3&lt;BC3,BB3-BC3,0))</f>
        <v>0</v>
      </c>
      <c r="BE3" s="127">
        <v>9.85</v>
      </c>
      <c r="BF3" s="127">
        <v>10.25</v>
      </c>
      <c r="BG3" s="127">
        <v>12.45</v>
      </c>
      <c r="BH3" s="127">
        <v>11.9</v>
      </c>
      <c r="BJ3" s="181">
        <f t="shared" ref="BJ3:BJ13" si="13">AVERAGE(BE3:BH3)</f>
        <v>11.112499999999999</v>
      </c>
      <c r="BK3" s="127">
        <v>13.2</v>
      </c>
      <c r="BL3" s="127">
        <v>10.4</v>
      </c>
      <c r="BM3" s="127">
        <v>10</v>
      </c>
      <c r="BN3" s="127">
        <v>12</v>
      </c>
      <c r="BO3" s="127"/>
      <c r="BP3" s="181">
        <f t="shared" ref="BP3:BP26" si="14">AVERAGE(BK3:BN3)</f>
        <v>11.4</v>
      </c>
      <c r="BQ3" s="43">
        <v>11</v>
      </c>
      <c r="BR3" s="185">
        <f>IF(ISERR(BP3),0,IF(BP3&lt;BQ3,BP3-BQ3,0))</f>
        <v>0</v>
      </c>
    </row>
    <row r="4" spans="1:70">
      <c r="A4" s="14" t="s">
        <v>99</v>
      </c>
      <c r="B4" s="14" t="s">
        <v>607</v>
      </c>
      <c r="C4" s="101" t="s">
        <v>270</v>
      </c>
      <c r="D4" s="102">
        <v>4</v>
      </c>
      <c r="E4" s="16">
        <v>0.53541666666666665</v>
      </c>
      <c r="F4" s="16">
        <v>0.56777777777777783</v>
      </c>
      <c r="G4" s="16">
        <v>0.64965277777777775</v>
      </c>
      <c r="H4" s="18">
        <f>F4-E4</f>
        <v>3.2361111111111174E-2</v>
      </c>
      <c r="I4" s="18">
        <f t="shared" si="2"/>
        <v>1.0925925925925895E-2</v>
      </c>
      <c r="J4" s="18">
        <f t="shared" si="3"/>
        <v>0.11423611111111109</v>
      </c>
      <c r="K4" s="16">
        <v>0.13194444444444445</v>
      </c>
      <c r="L4" s="16">
        <v>0.31111111111111112</v>
      </c>
      <c r="M4" s="16">
        <v>0.34151620370370367</v>
      </c>
      <c r="N4" s="16">
        <v>0.45347222222222222</v>
      </c>
      <c r="O4" s="18">
        <f t="shared" si="4"/>
        <v>3.0405092592592553E-2</v>
      </c>
      <c r="P4" s="18">
        <f t="shared" si="5"/>
        <v>7.7314814814814503E-3</v>
      </c>
      <c r="Q4" s="18">
        <f t="shared" si="6"/>
        <v>0.1423611111111111</v>
      </c>
      <c r="R4" s="16">
        <v>0.15972222222222224</v>
      </c>
      <c r="S4" s="37">
        <v>1.5</v>
      </c>
      <c r="T4" s="37">
        <v>2</v>
      </c>
      <c r="U4" s="37">
        <v>1</v>
      </c>
      <c r="V4" s="37">
        <v>2</v>
      </c>
      <c r="W4" s="19">
        <f t="shared" ref="W4:W26" si="15">ROUND(MAX(W$2-I4*60*24*0.5+BD4,0),1)</f>
        <v>7.1</v>
      </c>
      <c r="X4" s="19">
        <f t="shared" ref="X4:X26" si="16">ROUND(MAX(X$2-P4*60*24*0.5+BR4,0),1)</f>
        <v>9.4</v>
      </c>
      <c r="Y4" s="19">
        <f t="shared" si="7"/>
        <v>5</v>
      </c>
      <c r="Z4" s="19">
        <f t="shared" si="8"/>
        <v>5</v>
      </c>
      <c r="AA4" s="37">
        <v>9.3000000000000007</v>
      </c>
      <c r="AB4" s="37">
        <v>7.8</v>
      </c>
      <c r="AC4" s="37">
        <v>4</v>
      </c>
      <c r="AD4" s="37">
        <v>2</v>
      </c>
      <c r="AE4" s="37">
        <v>0.8</v>
      </c>
      <c r="AF4" s="174">
        <f t="shared" si="9"/>
        <v>3.5</v>
      </c>
      <c r="AG4" s="37">
        <v>0.6</v>
      </c>
      <c r="AH4" s="37">
        <v>1.2</v>
      </c>
      <c r="AI4" s="37">
        <v>5.8</v>
      </c>
      <c r="AJ4" s="174">
        <f t="shared" si="10"/>
        <v>3</v>
      </c>
      <c r="AK4" s="37">
        <v>3</v>
      </c>
      <c r="AL4" s="37">
        <v>4.9000000000000004</v>
      </c>
      <c r="AM4" s="19">
        <f t="shared" si="0"/>
        <v>72.400000000000006</v>
      </c>
      <c r="AN4" s="33">
        <f t="shared" si="11"/>
        <v>5</v>
      </c>
      <c r="AP4" s="22">
        <f t="shared" si="12"/>
        <v>4</v>
      </c>
      <c r="AQ4" s="127">
        <v>12.15</v>
      </c>
      <c r="AR4" s="127">
        <v>12.15</v>
      </c>
      <c r="AS4" s="127">
        <v>15.15</v>
      </c>
      <c r="AT4" s="127">
        <v>13.55</v>
      </c>
      <c r="AU4" s="127"/>
      <c r="AV4" s="180">
        <f t="shared" ref="AV4:AV26" si="17">AVERAGE(AQ4:AU4)</f>
        <v>13.25</v>
      </c>
      <c r="AW4" s="127">
        <v>12.1</v>
      </c>
      <c r="AX4" s="127">
        <v>12</v>
      </c>
      <c r="AY4" s="127">
        <v>15.1</v>
      </c>
      <c r="AZ4" s="127">
        <v>13.45</v>
      </c>
      <c r="BB4" s="181">
        <f>AVERAGE(AW4:AZ4)</f>
        <v>13.162500000000001</v>
      </c>
      <c r="BC4" s="43">
        <v>12</v>
      </c>
      <c r="BD4" s="185">
        <f t="shared" ref="BD4:BD26" si="18">IF(ISERR(BB4),0,IF(BB4&lt;BC4,BB4-BC4,0))</f>
        <v>0</v>
      </c>
      <c r="BE4" s="127">
        <v>10.8</v>
      </c>
      <c r="BF4" s="127">
        <v>10.7</v>
      </c>
      <c r="BG4" s="127">
        <v>13.1</v>
      </c>
      <c r="BH4" s="127">
        <v>12.35</v>
      </c>
      <c r="BJ4" s="181">
        <f t="shared" si="13"/>
        <v>11.737500000000001</v>
      </c>
      <c r="BK4" s="127">
        <v>13.2</v>
      </c>
      <c r="BL4" s="127">
        <v>11</v>
      </c>
      <c r="BM4" s="127">
        <v>11</v>
      </c>
      <c r="BN4" s="127">
        <v>12.6</v>
      </c>
      <c r="BO4" s="127"/>
      <c r="BP4" s="181">
        <f t="shared" si="14"/>
        <v>11.950000000000001</v>
      </c>
      <c r="BQ4" s="43">
        <v>11</v>
      </c>
      <c r="BR4" s="185">
        <f t="shared" ref="BR4:BR26" si="19">IF(ISERR(BP4),0,IF(BP4&lt;BQ4,BP4-BQ4,0))</f>
        <v>0</v>
      </c>
    </row>
    <row r="5" spans="1:70">
      <c r="A5" s="14" t="s">
        <v>99</v>
      </c>
      <c r="B5" s="14" t="s">
        <v>126</v>
      </c>
      <c r="C5" s="101" t="s">
        <v>272</v>
      </c>
      <c r="D5" s="101">
        <v>4</v>
      </c>
      <c r="E5" s="16">
        <v>0.53611111111111098</v>
      </c>
      <c r="F5" s="16">
        <v>0.55754629629629626</v>
      </c>
      <c r="G5" s="16">
        <v>0.66151620370370368</v>
      </c>
      <c r="H5" s="18">
        <f>F5-E5</f>
        <v>2.1435185185185279E-2</v>
      </c>
      <c r="I5" s="18">
        <f t="shared" si="2"/>
        <v>0</v>
      </c>
      <c r="J5" s="18">
        <f t="shared" si="3"/>
        <v>0.12540509259259269</v>
      </c>
      <c r="K5" s="16">
        <v>0.13194444444444445</v>
      </c>
      <c r="L5" s="16">
        <v>0.30902777777777779</v>
      </c>
      <c r="M5" s="16">
        <v>0.33170138888888889</v>
      </c>
      <c r="N5" s="16">
        <v>0.4539583333333333</v>
      </c>
      <c r="O5" s="18">
        <f t="shared" si="4"/>
        <v>2.2673611111111103E-2</v>
      </c>
      <c r="P5" s="18">
        <f t="shared" si="5"/>
        <v>0</v>
      </c>
      <c r="Q5" s="18">
        <f t="shared" si="6"/>
        <v>0.14493055555555551</v>
      </c>
      <c r="R5" s="16">
        <v>0.15972222222222224</v>
      </c>
      <c r="S5" s="37">
        <v>4</v>
      </c>
      <c r="T5" s="37">
        <v>3</v>
      </c>
      <c r="U5" s="37">
        <v>1</v>
      </c>
      <c r="V5" s="37">
        <v>2.5</v>
      </c>
      <c r="W5" s="19">
        <f t="shared" si="15"/>
        <v>15</v>
      </c>
      <c r="X5" s="19">
        <f t="shared" si="16"/>
        <v>15</v>
      </c>
      <c r="Y5" s="19">
        <f t="shared" si="7"/>
        <v>5</v>
      </c>
      <c r="Z5" s="19">
        <f t="shared" si="8"/>
        <v>5</v>
      </c>
      <c r="AA5" s="37">
        <v>10</v>
      </c>
      <c r="AB5" s="37">
        <v>8</v>
      </c>
      <c r="AC5" s="37">
        <v>4</v>
      </c>
      <c r="AD5" s="37">
        <v>4.8</v>
      </c>
      <c r="AE5" s="37">
        <v>1.8</v>
      </c>
      <c r="AF5" s="174">
        <f t="shared" si="9"/>
        <v>7</v>
      </c>
      <c r="AG5" s="37">
        <v>4</v>
      </c>
      <c r="AH5" s="37">
        <v>2</v>
      </c>
      <c r="AI5" s="37">
        <v>6</v>
      </c>
      <c r="AJ5" s="174">
        <f t="shared" si="10"/>
        <v>3.5</v>
      </c>
      <c r="AK5" s="37">
        <v>3</v>
      </c>
      <c r="AL5" s="37">
        <v>4.9000000000000004</v>
      </c>
      <c r="AM5" s="19">
        <f t="shared" si="0"/>
        <v>99</v>
      </c>
      <c r="AN5" s="33">
        <f t="shared" si="11"/>
        <v>1</v>
      </c>
      <c r="AP5" s="22">
        <f t="shared" si="12"/>
        <v>1</v>
      </c>
      <c r="AQ5" s="127">
        <v>12.55</v>
      </c>
      <c r="AR5" s="127">
        <v>12.4</v>
      </c>
      <c r="AS5" s="127">
        <v>10.5</v>
      </c>
      <c r="AT5" s="127">
        <v>13</v>
      </c>
      <c r="AU5" s="127"/>
      <c r="AV5" s="180">
        <f t="shared" si="17"/>
        <v>12.112500000000001</v>
      </c>
      <c r="AW5" s="127">
        <v>12.65</v>
      </c>
      <c r="AX5" s="127">
        <v>12.25</v>
      </c>
      <c r="AY5" s="127">
        <v>10.55</v>
      </c>
      <c r="AZ5" s="127">
        <v>13</v>
      </c>
      <c r="BB5" s="181">
        <f>AVERAGE(AW5:AZ5)</f>
        <v>12.112500000000001</v>
      </c>
      <c r="BC5" s="43">
        <v>12</v>
      </c>
      <c r="BD5" s="185">
        <f t="shared" si="18"/>
        <v>0</v>
      </c>
      <c r="BE5" s="127">
        <v>12.2</v>
      </c>
      <c r="BF5" s="127">
        <v>11.3</v>
      </c>
      <c r="BG5" s="127">
        <v>9.4499999999999993</v>
      </c>
      <c r="BH5" s="127">
        <v>12.05</v>
      </c>
      <c r="BJ5" s="181">
        <f t="shared" si="13"/>
        <v>11.25</v>
      </c>
      <c r="BK5" s="127">
        <v>12</v>
      </c>
      <c r="BL5" s="127">
        <v>11.6</v>
      </c>
      <c r="BM5" s="127">
        <v>9.4</v>
      </c>
      <c r="BN5" s="127">
        <v>12.8</v>
      </c>
      <c r="BO5" s="127"/>
      <c r="BP5" s="181">
        <f t="shared" si="14"/>
        <v>11.45</v>
      </c>
      <c r="BQ5" s="43">
        <v>11</v>
      </c>
      <c r="BR5" s="185">
        <f t="shared" si="19"/>
        <v>0</v>
      </c>
    </row>
    <row r="6" spans="1:70">
      <c r="A6" s="14" t="s">
        <v>99</v>
      </c>
      <c r="B6" s="14" t="s">
        <v>641</v>
      </c>
      <c r="C6" s="101" t="s">
        <v>273</v>
      </c>
      <c r="D6" s="101">
        <v>4</v>
      </c>
      <c r="E6" s="16">
        <v>0.53680555555555598</v>
      </c>
      <c r="F6" s="16">
        <v>0.57355324074074077</v>
      </c>
      <c r="G6" s="16">
        <v>0.64456018518518521</v>
      </c>
      <c r="H6" s="18">
        <f t="shared" si="1"/>
        <v>3.6747685185184786E-2</v>
      </c>
      <c r="I6" s="18">
        <f t="shared" si="2"/>
        <v>1.5312499999999507E-2</v>
      </c>
      <c r="J6" s="18">
        <f t="shared" si="3"/>
        <v>0.10775462962962923</v>
      </c>
      <c r="K6" s="16">
        <v>0.13194444444444445</v>
      </c>
      <c r="L6" s="16">
        <v>0.3125</v>
      </c>
      <c r="M6" s="16">
        <v>0.34439814814814818</v>
      </c>
      <c r="N6" s="16">
        <v>0.45532407407407405</v>
      </c>
      <c r="O6" s="18">
        <f t="shared" si="4"/>
        <v>3.1898148148148175E-2</v>
      </c>
      <c r="P6" s="18">
        <f t="shared" si="5"/>
        <v>9.2245370370370727E-3</v>
      </c>
      <c r="Q6" s="18">
        <f t="shared" si="6"/>
        <v>0.14282407407407405</v>
      </c>
      <c r="R6" s="16">
        <v>0.15972222222222224</v>
      </c>
      <c r="S6" s="37">
        <v>1</v>
      </c>
      <c r="T6" s="37">
        <v>0</v>
      </c>
      <c r="U6" s="37">
        <v>0.5</v>
      </c>
      <c r="V6" s="37">
        <v>1.7</v>
      </c>
      <c r="W6" s="19">
        <f t="shared" si="15"/>
        <v>4</v>
      </c>
      <c r="X6" s="19">
        <f t="shared" si="16"/>
        <v>8.4</v>
      </c>
      <c r="Y6" s="19">
        <f t="shared" si="7"/>
        <v>5</v>
      </c>
      <c r="Z6" s="19">
        <f t="shared" si="8"/>
        <v>5</v>
      </c>
      <c r="AA6" s="37">
        <v>8</v>
      </c>
      <c r="AB6" s="37">
        <v>6.1</v>
      </c>
      <c r="AC6" s="37">
        <v>3.6</v>
      </c>
      <c r="AD6" s="37">
        <v>2.2000000000000002</v>
      </c>
      <c r="AE6" s="37">
        <v>1.6</v>
      </c>
      <c r="AF6" s="174">
        <f t="shared" si="9"/>
        <v>1</v>
      </c>
      <c r="AG6" s="37">
        <v>2</v>
      </c>
      <c r="AH6" s="37">
        <v>1.6</v>
      </c>
      <c r="AI6" s="37">
        <v>5.0999999999999996</v>
      </c>
      <c r="AJ6" s="174">
        <f t="shared" si="10"/>
        <v>2.2000000000000002</v>
      </c>
      <c r="AK6" s="37">
        <v>3</v>
      </c>
      <c r="AL6" s="37">
        <v>4.4000000000000004</v>
      </c>
      <c r="AM6" s="19">
        <f t="shared" si="0"/>
        <v>63.20000000000001</v>
      </c>
      <c r="AN6" s="33">
        <f t="shared" si="11"/>
        <v>6</v>
      </c>
      <c r="AP6" s="22">
        <f t="shared" si="12"/>
        <v>6</v>
      </c>
      <c r="AQ6" s="127">
        <v>16.05</v>
      </c>
      <c r="AR6" s="127">
        <v>16.2</v>
      </c>
      <c r="AS6" s="127">
        <v>16.3</v>
      </c>
      <c r="AT6" s="127">
        <v>16.350000000000001</v>
      </c>
      <c r="AU6" s="127"/>
      <c r="AV6" s="180">
        <f t="shared" si="17"/>
        <v>16.225000000000001</v>
      </c>
      <c r="AW6" s="127">
        <v>15.7</v>
      </c>
      <c r="AX6" s="127">
        <v>15.75</v>
      </c>
      <c r="AY6" s="127">
        <v>15.8</v>
      </c>
      <c r="AZ6" s="127">
        <v>15.6</v>
      </c>
      <c r="BB6" s="181">
        <f>AVERAGE(AW6:BA6)</f>
        <v>15.7125</v>
      </c>
      <c r="BC6" s="43">
        <v>12</v>
      </c>
      <c r="BD6" s="185">
        <f t="shared" si="18"/>
        <v>0</v>
      </c>
      <c r="BE6" s="127">
        <v>15.6</v>
      </c>
      <c r="BF6" s="127">
        <v>12.85</v>
      </c>
      <c r="BG6" s="127">
        <v>13.25</v>
      </c>
      <c r="BH6" s="127">
        <v>14.7</v>
      </c>
      <c r="BJ6" s="181">
        <f t="shared" si="13"/>
        <v>14.100000000000001</v>
      </c>
      <c r="BK6" s="127">
        <v>13.8</v>
      </c>
      <c r="BL6" s="127">
        <v>13.8</v>
      </c>
      <c r="BM6" s="127">
        <v>15</v>
      </c>
      <c r="BN6" s="127">
        <v>12.6</v>
      </c>
      <c r="BO6" s="127"/>
      <c r="BP6" s="181">
        <f t="shared" si="14"/>
        <v>13.8</v>
      </c>
      <c r="BQ6" s="43">
        <v>11</v>
      </c>
      <c r="BR6" s="185">
        <f t="shared" si="19"/>
        <v>0</v>
      </c>
    </row>
    <row r="7" spans="1:70">
      <c r="A7" s="14" t="s">
        <v>99</v>
      </c>
      <c r="B7" s="161" t="s">
        <v>179</v>
      </c>
      <c r="C7" s="101" t="s">
        <v>274</v>
      </c>
      <c r="D7" s="101">
        <v>4</v>
      </c>
      <c r="E7" s="16">
        <v>0.53749999999999998</v>
      </c>
      <c r="F7" s="16">
        <v>0.56949074074074069</v>
      </c>
      <c r="G7" s="16">
        <v>0.66168981481481481</v>
      </c>
      <c r="H7" s="18">
        <f t="shared" si="1"/>
        <v>3.1990740740740709E-2</v>
      </c>
      <c r="I7" s="18">
        <f t="shared" si="2"/>
        <v>1.0555555555555429E-2</v>
      </c>
      <c r="J7" s="18">
        <f t="shared" si="3"/>
        <v>0.12418981481481484</v>
      </c>
      <c r="K7" s="16">
        <v>0.13194444444444445</v>
      </c>
      <c r="L7" s="16">
        <v>0.31041666666666667</v>
      </c>
      <c r="M7" s="16">
        <v>0.34251157407407407</v>
      </c>
      <c r="N7" s="16">
        <v>0.46136574074074077</v>
      </c>
      <c r="O7" s="18">
        <f t="shared" si="4"/>
        <v>3.2094907407407391E-2</v>
      </c>
      <c r="P7" s="18">
        <f t="shared" si="5"/>
        <v>9.4212962962962887E-3</v>
      </c>
      <c r="Q7" s="18">
        <f t="shared" si="6"/>
        <v>0.1509490740740741</v>
      </c>
      <c r="R7" s="16">
        <v>0.15972222222222224</v>
      </c>
      <c r="S7" s="37">
        <v>4</v>
      </c>
      <c r="T7" s="37">
        <v>2</v>
      </c>
      <c r="U7" s="37">
        <v>0.5</v>
      </c>
      <c r="V7" s="37">
        <v>2.5</v>
      </c>
      <c r="W7" s="19">
        <f t="shared" si="15"/>
        <v>7.4</v>
      </c>
      <c r="X7" s="19">
        <f t="shared" si="16"/>
        <v>8.1999999999999993</v>
      </c>
      <c r="Y7" s="19">
        <f t="shared" si="7"/>
        <v>5</v>
      </c>
      <c r="Z7" s="19">
        <f t="shared" si="8"/>
        <v>5</v>
      </c>
      <c r="AA7" s="37">
        <v>10</v>
      </c>
      <c r="AB7" s="37">
        <v>7.8</v>
      </c>
      <c r="AC7" s="37">
        <v>3.6</v>
      </c>
      <c r="AD7" s="37">
        <v>2.1</v>
      </c>
      <c r="AE7" s="37">
        <v>1.2</v>
      </c>
      <c r="AF7" s="174">
        <f t="shared" si="9"/>
        <v>6</v>
      </c>
      <c r="AG7" s="37">
        <v>1</v>
      </c>
      <c r="AH7" s="37">
        <v>1.6</v>
      </c>
      <c r="AI7" s="37">
        <v>5.8</v>
      </c>
      <c r="AJ7" s="174">
        <f t="shared" si="10"/>
        <v>3</v>
      </c>
      <c r="AK7" s="37">
        <v>3</v>
      </c>
      <c r="AL7" s="37">
        <v>4.4000000000000004</v>
      </c>
      <c r="AM7" s="19">
        <f t="shared" si="0"/>
        <v>75.100000000000009</v>
      </c>
      <c r="AN7" s="33">
        <f t="shared" si="11"/>
        <v>4</v>
      </c>
      <c r="AP7" s="22">
        <f t="shared" si="12"/>
        <v>3</v>
      </c>
      <c r="AQ7" s="127">
        <v>14.25</v>
      </c>
      <c r="AR7" s="127">
        <v>13.95</v>
      </c>
      <c r="AS7" s="127">
        <v>12.55</v>
      </c>
      <c r="AT7" s="127">
        <v>12.75</v>
      </c>
      <c r="AU7" s="127"/>
      <c r="AV7" s="180">
        <f t="shared" si="17"/>
        <v>13.375</v>
      </c>
      <c r="AW7" s="127">
        <v>14.25</v>
      </c>
      <c r="AX7" s="127">
        <v>12.6</v>
      </c>
      <c r="AY7" s="127">
        <v>12.35</v>
      </c>
      <c r="AZ7" s="127">
        <v>13.7</v>
      </c>
      <c r="BB7" s="181">
        <f t="shared" ref="BB7:BB26" si="20">AVERAGE(AW7:BA7)</f>
        <v>13.225000000000001</v>
      </c>
      <c r="BC7" s="43">
        <v>12</v>
      </c>
      <c r="BD7" s="185">
        <f t="shared" si="18"/>
        <v>0</v>
      </c>
      <c r="BE7" s="127">
        <v>11.65</v>
      </c>
      <c r="BF7" s="127">
        <v>11.2</v>
      </c>
      <c r="BG7" s="127">
        <v>10.4</v>
      </c>
      <c r="BH7" s="127">
        <v>12.5</v>
      </c>
      <c r="BJ7" s="181">
        <f t="shared" si="13"/>
        <v>11.4375</v>
      </c>
      <c r="BK7" s="127">
        <v>12</v>
      </c>
      <c r="BL7" s="127">
        <v>11.8</v>
      </c>
      <c r="BM7" s="127">
        <v>12.6</v>
      </c>
      <c r="BN7" s="127">
        <v>10.6</v>
      </c>
      <c r="BO7" s="127"/>
      <c r="BP7" s="181">
        <f>AVERAGE(BK7:BO7)</f>
        <v>11.75</v>
      </c>
      <c r="BQ7" s="43">
        <v>11</v>
      </c>
      <c r="BR7" s="185">
        <f t="shared" si="19"/>
        <v>0</v>
      </c>
    </row>
    <row r="8" spans="1:70" ht="14.25" thickBot="1">
      <c r="A8" s="62" t="s">
        <v>99</v>
      </c>
      <c r="B8" s="62" t="s">
        <v>124</v>
      </c>
      <c r="C8" s="110" t="s">
        <v>275</v>
      </c>
      <c r="D8" s="110">
        <v>4</v>
      </c>
      <c r="E8" s="64">
        <v>0.53819444444444398</v>
      </c>
      <c r="F8" s="64">
        <v>0.57209490740740743</v>
      </c>
      <c r="G8" s="64">
        <v>0.6537384259259259</v>
      </c>
      <c r="H8" s="66">
        <f>F8-E8</f>
        <v>3.3900462962963451E-2</v>
      </c>
      <c r="I8" s="66">
        <f t="shared" si="2"/>
        <v>1.2465277777778172E-2</v>
      </c>
      <c r="J8" s="66">
        <f t="shared" si="3"/>
        <v>0.11554398148148193</v>
      </c>
      <c r="K8" s="64">
        <v>0.13194444444444445</v>
      </c>
      <c r="L8" s="64">
        <v>0.31180555555555556</v>
      </c>
      <c r="M8" s="64">
        <v>0.34487268518518516</v>
      </c>
      <c r="N8" s="64">
        <v>0.4601851851851852</v>
      </c>
      <c r="O8" s="66">
        <f>M8-L8</f>
        <v>3.3067129629629599E-2</v>
      </c>
      <c r="P8" s="66">
        <f t="shared" si="5"/>
        <v>1.0393518518518496E-2</v>
      </c>
      <c r="Q8" s="66">
        <f t="shared" si="6"/>
        <v>0.14837962962962964</v>
      </c>
      <c r="R8" s="64">
        <v>0.15972222222222224</v>
      </c>
      <c r="S8" s="68">
        <v>4</v>
      </c>
      <c r="T8" s="68">
        <v>3</v>
      </c>
      <c r="U8" s="68">
        <v>1</v>
      </c>
      <c r="V8" s="68">
        <v>2.5</v>
      </c>
      <c r="W8" s="67">
        <f t="shared" si="15"/>
        <v>6</v>
      </c>
      <c r="X8" s="67">
        <f t="shared" si="16"/>
        <v>7.5</v>
      </c>
      <c r="Y8" s="67">
        <f t="shared" si="7"/>
        <v>5</v>
      </c>
      <c r="Z8" s="67">
        <f t="shared" si="8"/>
        <v>5</v>
      </c>
      <c r="AA8" s="68">
        <v>9.3000000000000007</v>
      </c>
      <c r="AB8" s="68">
        <v>8</v>
      </c>
      <c r="AC8" s="68">
        <v>4</v>
      </c>
      <c r="AD8" s="68">
        <v>3.8</v>
      </c>
      <c r="AE8" s="68">
        <v>1.4</v>
      </c>
      <c r="AF8" s="175">
        <f t="shared" si="9"/>
        <v>7</v>
      </c>
      <c r="AG8" s="68">
        <v>2.2000000000000002</v>
      </c>
      <c r="AH8" s="68">
        <v>1.6</v>
      </c>
      <c r="AI8" s="68">
        <v>5.6</v>
      </c>
      <c r="AJ8" s="175">
        <f t="shared" si="10"/>
        <v>3.5</v>
      </c>
      <c r="AK8" s="68">
        <v>3</v>
      </c>
      <c r="AL8" s="68">
        <v>4.9000000000000004</v>
      </c>
      <c r="AM8" s="67">
        <f t="shared" si="0"/>
        <v>77.8</v>
      </c>
      <c r="AN8" s="111">
        <f t="shared" si="11"/>
        <v>3</v>
      </c>
      <c r="AP8" s="22">
        <f t="shared" si="12"/>
        <v>5</v>
      </c>
      <c r="AQ8" s="127">
        <v>14.05</v>
      </c>
      <c r="AR8" s="127">
        <v>15.55</v>
      </c>
      <c r="AS8" s="127">
        <v>14.1</v>
      </c>
      <c r="AT8" s="127">
        <v>16.850000000000001</v>
      </c>
      <c r="AU8" s="127"/>
      <c r="AV8" s="180">
        <f t="shared" si="17"/>
        <v>15.137500000000001</v>
      </c>
      <c r="AW8" s="127">
        <v>14.05</v>
      </c>
      <c r="AX8" s="127">
        <v>16.399999999999999</v>
      </c>
      <c r="AY8" s="127">
        <v>13.85</v>
      </c>
      <c r="AZ8" s="127">
        <v>15.1</v>
      </c>
      <c r="BB8" s="181">
        <f t="shared" si="20"/>
        <v>14.85</v>
      </c>
      <c r="BC8" s="43">
        <v>12</v>
      </c>
      <c r="BD8" s="185">
        <f t="shared" si="18"/>
        <v>0</v>
      </c>
      <c r="BE8" s="127">
        <v>14.9</v>
      </c>
      <c r="BF8" s="127">
        <v>12.15</v>
      </c>
      <c r="BG8" s="127">
        <v>13.45</v>
      </c>
      <c r="BH8" s="127">
        <v>15</v>
      </c>
      <c r="BJ8" s="181">
        <f t="shared" si="13"/>
        <v>13.875</v>
      </c>
      <c r="BK8" s="127">
        <v>15.2</v>
      </c>
      <c r="BL8" s="127">
        <v>12.4</v>
      </c>
      <c r="BM8" s="127">
        <v>14</v>
      </c>
      <c r="BN8" s="127">
        <v>14.2</v>
      </c>
      <c r="BO8" s="127"/>
      <c r="BP8" s="181">
        <f t="shared" si="14"/>
        <v>13.95</v>
      </c>
      <c r="BQ8" s="43">
        <v>11</v>
      </c>
      <c r="BR8" s="185">
        <f t="shared" si="19"/>
        <v>0</v>
      </c>
    </row>
    <row r="9" spans="1:70">
      <c r="A9" s="44" t="s">
        <v>100</v>
      </c>
      <c r="B9" s="44" t="s">
        <v>185</v>
      </c>
      <c r="C9" s="107" t="s">
        <v>261</v>
      </c>
      <c r="D9" s="107">
        <v>4</v>
      </c>
      <c r="E9" s="46">
        <v>0.53888888888888886</v>
      </c>
      <c r="F9" s="46">
        <v>0.56291666666666662</v>
      </c>
      <c r="G9" s="46">
        <v>0.66369212962962965</v>
      </c>
      <c r="H9" s="48">
        <f>F9-E9</f>
        <v>2.4027777777777759E-2</v>
      </c>
      <c r="I9" s="48">
        <f t="shared" si="2"/>
        <v>2.5925925925924798E-3</v>
      </c>
      <c r="J9" s="48">
        <f t="shared" si="3"/>
        <v>0.12480324074074078</v>
      </c>
      <c r="K9" s="46">
        <v>0.13194444444444445</v>
      </c>
      <c r="L9" s="46">
        <v>0.31319444444444444</v>
      </c>
      <c r="M9" s="46">
        <v>0.33795138888888893</v>
      </c>
      <c r="N9" s="46">
        <v>0.45642361111111113</v>
      </c>
      <c r="O9" s="48">
        <f t="shared" si="4"/>
        <v>2.4756944444444484E-2</v>
      </c>
      <c r="P9" s="48">
        <f t="shared" si="5"/>
        <v>2.0833333333333814E-3</v>
      </c>
      <c r="Q9" s="48">
        <f t="shared" si="6"/>
        <v>0.14322916666666669</v>
      </c>
      <c r="R9" s="46">
        <v>0.15972222222222224</v>
      </c>
      <c r="S9" s="50">
        <v>4</v>
      </c>
      <c r="T9" s="50">
        <v>3</v>
      </c>
      <c r="U9" s="50">
        <v>1</v>
      </c>
      <c r="V9" s="50">
        <v>2.5</v>
      </c>
      <c r="W9" s="49">
        <f t="shared" si="15"/>
        <v>13.1</v>
      </c>
      <c r="X9" s="49">
        <f t="shared" si="16"/>
        <v>13.5</v>
      </c>
      <c r="Y9" s="49">
        <f t="shared" si="7"/>
        <v>5</v>
      </c>
      <c r="Z9" s="49">
        <f t="shared" si="8"/>
        <v>5</v>
      </c>
      <c r="AA9" s="50">
        <v>9.5</v>
      </c>
      <c r="AB9" s="50">
        <v>8</v>
      </c>
      <c r="AC9" s="50">
        <v>4</v>
      </c>
      <c r="AD9" s="50">
        <v>5</v>
      </c>
      <c r="AE9" s="50">
        <v>1.8</v>
      </c>
      <c r="AF9" s="176">
        <f t="shared" si="9"/>
        <v>7</v>
      </c>
      <c r="AG9" s="50">
        <v>3.6</v>
      </c>
      <c r="AH9" s="50">
        <v>1.8</v>
      </c>
      <c r="AI9" s="50">
        <v>6</v>
      </c>
      <c r="AJ9" s="176">
        <f t="shared" si="10"/>
        <v>3.5</v>
      </c>
      <c r="AK9" s="50">
        <v>2.5</v>
      </c>
      <c r="AL9" s="50">
        <v>4.9000000000000004</v>
      </c>
      <c r="AM9" s="49">
        <f t="shared" si="0"/>
        <v>94.2</v>
      </c>
      <c r="AN9" s="51">
        <f t="shared" ref="AN9:AN20" si="21">RANK(AM9,$AM$9:$AM$20)</f>
        <v>1</v>
      </c>
      <c r="AP9" s="22">
        <f t="shared" ref="AP9:AP20" si="22">RANK(I9,$I$9:$I$20,1)</f>
        <v>1</v>
      </c>
      <c r="AQ9" s="149">
        <v>12.2</v>
      </c>
      <c r="AR9" s="149">
        <v>12.25</v>
      </c>
      <c r="AS9" s="149">
        <v>12.25</v>
      </c>
      <c r="AT9" s="149">
        <v>12.25</v>
      </c>
      <c r="AU9" s="127"/>
      <c r="AV9" s="180">
        <f t="shared" si="17"/>
        <v>12.237500000000001</v>
      </c>
      <c r="AW9" s="149">
        <v>12.2</v>
      </c>
      <c r="AX9" s="149">
        <v>12.4</v>
      </c>
      <c r="AY9" s="149">
        <v>12.25</v>
      </c>
      <c r="AZ9" s="127">
        <v>12.25</v>
      </c>
      <c r="BB9" s="181">
        <f t="shared" si="20"/>
        <v>12.275</v>
      </c>
      <c r="BC9" s="160">
        <v>12</v>
      </c>
      <c r="BD9" s="185">
        <f t="shared" si="18"/>
        <v>0</v>
      </c>
      <c r="BE9" s="149">
        <v>12.3</v>
      </c>
      <c r="BF9" s="149">
        <v>11.7</v>
      </c>
      <c r="BG9" s="149">
        <v>10.75</v>
      </c>
      <c r="BH9" s="127">
        <v>11.45</v>
      </c>
      <c r="BJ9" s="181">
        <f t="shared" si="13"/>
        <v>11.55</v>
      </c>
      <c r="BK9" s="149">
        <v>13.4</v>
      </c>
      <c r="BL9" s="149">
        <v>11.6</v>
      </c>
      <c r="BM9" s="149">
        <v>11.8</v>
      </c>
      <c r="BN9" s="149">
        <v>10.8</v>
      </c>
      <c r="BO9" s="127"/>
      <c r="BP9" s="181">
        <f t="shared" si="14"/>
        <v>11.899999999999999</v>
      </c>
      <c r="BQ9" s="160">
        <v>11</v>
      </c>
      <c r="BR9" s="185">
        <f t="shared" si="19"/>
        <v>0</v>
      </c>
    </row>
    <row r="10" spans="1:70">
      <c r="A10" s="14" t="s">
        <v>100</v>
      </c>
      <c r="B10" s="14" t="s">
        <v>124</v>
      </c>
      <c r="C10" s="101" t="s">
        <v>262</v>
      </c>
      <c r="D10" s="101">
        <v>4</v>
      </c>
      <c r="E10" s="16">
        <v>0.5395833333333333</v>
      </c>
      <c r="F10" s="16">
        <v>0.58561342592592591</v>
      </c>
      <c r="G10" s="16">
        <v>0.66087962962962965</v>
      </c>
      <c r="H10" s="18">
        <f t="shared" si="1"/>
        <v>4.6030092592592609E-2</v>
      </c>
      <c r="I10" s="18">
        <f t="shared" si="2"/>
        <v>2.4594907407407329E-2</v>
      </c>
      <c r="J10" s="18">
        <f t="shared" ref="J10:J26" si="23">G10-E10</f>
        <v>0.12129629629629635</v>
      </c>
      <c r="K10" s="16">
        <v>0.13194444444444445</v>
      </c>
      <c r="L10" s="16">
        <v>0.32013888888888892</v>
      </c>
      <c r="M10" s="16">
        <v>0.36451388888888886</v>
      </c>
      <c r="N10" s="16">
        <v>0.47505787037037034</v>
      </c>
      <c r="O10" s="18">
        <f t="shared" si="4"/>
        <v>4.4374999999999942E-2</v>
      </c>
      <c r="P10" s="18">
        <f t="shared" si="5"/>
        <v>2.170138888888884E-2</v>
      </c>
      <c r="Q10" s="18">
        <f t="shared" ref="Q10:Q20" si="24">N10-L10</f>
        <v>0.15491898148148142</v>
      </c>
      <c r="R10" s="16">
        <v>0.15972222222222224</v>
      </c>
      <c r="S10" s="37">
        <v>2</v>
      </c>
      <c r="T10" s="37">
        <v>0</v>
      </c>
      <c r="U10" s="37">
        <v>1</v>
      </c>
      <c r="V10" s="37">
        <v>2.5</v>
      </c>
      <c r="W10" s="19">
        <f t="shared" si="15"/>
        <v>0</v>
      </c>
      <c r="X10" s="19">
        <f t="shared" si="16"/>
        <v>0</v>
      </c>
      <c r="Y10" s="19">
        <f t="shared" si="7"/>
        <v>5</v>
      </c>
      <c r="Z10" s="19">
        <f t="shared" si="8"/>
        <v>5</v>
      </c>
      <c r="AA10" s="37">
        <v>7.5</v>
      </c>
      <c r="AB10" s="37">
        <v>8</v>
      </c>
      <c r="AC10" s="37">
        <v>4</v>
      </c>
      <c r="AD10" s="37">
        <v>0.9</v>
      </c>
      <c r="AE10" s="37">
        <v>1.2</v>
      </c>
      <c r="AF10" s="174">
        <f t="shared" si="9"/>
        <v>2</v>
      </c>
      <c r="AG10" s="37">
        <v>2.6</v>
      </c>
      <c r="AH10" s="37">
        <v>1</v>
      </c>
      <c r="AI10" s="37">
        <v>5.0999999999999996</v>
      </c>
      <c r="AJ10" s="174">
        <f t="shared" si="10"/>
        <v>3.5</v>
      </c>
      <c r="AK10" s="37">
        <v>2.5</v>
      </c>
      <c r="AL10" s="37">
        <v>4.9000000000000004</v>
      </c>
      <c r="AM10" s="49">
        <f t="shared" si="0"/>
        <v>53.199999999999996</v>
      </c>
      <c r="AN10" s="51">
        <f t="shared" si="21"/>
        <v>9</v>
      </c>
      <c r="AP10" s="22">
        <f t="shared" si="22"/>
        <v>11</v>
      </c>
      <c r="AQ10" s="149">
        <v>15.6</v>
      </c>
      <c r="AR10" s="149">
        <v>14</v>
      </c>
      <c r="AS10" s="149">
        <v>14</v>
      </c>
      <c r="AT10" s="149">
        <v>17</v>
      </c>
      <c r="AU10" s="149"/>
      <c r="AV10" s="180">
        <f t="shared" si="17"/>
        <v>15.15</v>
      </c>
      <c r="AW10" s="149">
        <v>16.45</v>
      </c>
      <c r="AX10" s="149">
        <v>14.9</v>
      </c>
      <c r="AY10" s="149">
        <v>14</v>
      </c>
      <c r="AZ10" s="149">
        <v>13.5</v>
      </c>
      <c r="BA10" s="149"/>
      <c r="BB10" s="181">
        <f t="shared" si="20"/>
        <v>14.7125</v>
      </c>
      <c r="BC10" s="160">
        <v>12</v>
      </c>
      <c r="BD10" s="185">
        <f t="shared" si="18"/>
        <v>0</v>
      </c>
      <c r="BE10" s="149">
        <v>14.25</v>
      </c>
      <c r="BF10" s="149">
        <v>12.15</v>
      </c>
      <c r="BG10" s="149">
        <v>13.35</v>
      </c>
      <c r="BH10" s="149">
        <v>15.3</v>
      </c>
      <c r="BI10" s="149"/>
      <c r="BJ10" s="181">
        <f t="shared" si="13"/>
        <v>13.762499999999999</v>
      </c>
      <c r="BK10" s="149">
        <v>14.8</v>
      </c>
      <c r="BL10" s="149">
        <v>12.6</v>
      </c>
      <c r="BM10" s="149">
        <v>13.4</v>
      </c>
      <c r="BN10" s="149">
        <v>13.2</v>
      </c>
      <c r="BO10" s="149"/>
      <c r="BP10" s="181">
        <f t="shared" si="14"/>
        <v>13.5</v>
      </c>
      <c r="BQ10" s="160">
        <v>11</v>
      </c>
      <c r="BR10" s="185">
        <f t="shared" si="19"/>
        <v>0</v>
      </c>
    </row>
    <row r="11" spans="1:70">
      <c r="A11" s="14" t="s">
        <v>100</v>
      </c>
      <c r="B11" s="14" t="s">
        <v>230</v>
      </c>
      <c r="C11" s="101" t="s">
        <v>263</v>
      </c>
      <c r="D11" s="101">
        <v>4</v>
      </c>
      <c r="E11" s="46">
        <v>0.54027777777777797</v>
      </c>
      <c r="F11" s="16">
        <v>0.56572916666666673</v>
      </c>
      <c r="G11" s="16">
        <v>0.63315972222222217</v>
      </c>
      <c r="H11" s="18">
        <f t="shared" si="1"/>
        <v>2.545138888888876E-2</v>
      </c>
      <c r="I11" s="18">
        <f t="shared" si="2"/>
        <v>4.0162037037034803E-3</v>
      </c>
      <c r="J11" s="18">
        <f t="shared" si="23"/>
        <v>9.2881944444444198E-2</v>
      </c>
      <c r="K11" s="16">
        <v>0.13194444444444445</v>
      </c>
      <c r="L11" s="16">
        <v>0.31527777777777777</v>
      </c>
      <c r="M11" s="16">
        <v>0.34084490740740742</v>
      </c>
      <c r="N11" s="16">
        <v>0.44942129629629629</v>
      </c>
      <c r="O11" s="18">
        <f t="shared" si="4"/>
        <v>2.5567129629629648E-2</v>
      </c>
      <c r="P11" s="18">
        <f t="shared" si="5"/>
        <v>2.8935185185185452E-3</v>
      </c>
      <c r="Q11" s="18">
        <f t="shared" si="24"/>
        <v>0.13414351851851852</v>
      </c>
      <c r="R11" s="16">
        <v>0.15972222222222224</v>
      </c>
      <c r="S11" s="37">
        <v>3</v>
      </c>
      <c r="T11" s="37">
        <v>0</v>
      </c>
      <c r="U11" s="37">
        <v>1</v>
      </c>
      <c r="V11" s="37">
        <v>2.5</v>
      </c>
      <c r="W11" s="19">
        <f t="shared" si="15"/>
        <v>12</v>
      </c>
      <c r="X11" s="19">
        <f t="shared" si="16"/>
        <v>12.9</v>
      </c>
      <c r="Y11" s="19">
        <f t="shared" si="7"/>
        <v>5</v>
      </c>
      <c r="Z11" s="19">
        <f t="shared" si="8"/>
        <v>5</v>
      </c>
      <c r="AA11" s="37">
        <v>6.1</v>
      </c>
      <c r="AB11" s="37">
        <v>7.8</v>
      </c>
      <c r="AC11" s="37">
        <v>1.8</v>
      </c>
      <c r="AD11" s="37">
        <v>3.7</v>
      </c>
      <c r="AE11" s="37">
        <v>2</v>
      </c>
      <c r="AF11" s="174">
        <f t="shared" si="9"/>
        <v>3</v>
      </c>
      <c r="AG11" s="37">
        <v>3.8</v>
      </c>
      <c r="AH11" s="37">
        <v>1.6</v>
      </c>
      <c r="AI11" s="37">
        <v>5.5</v>
      </c>
      <c r="AJ11" s="174">
        <f t="shared" si="10"/>
        <v>3.5</v>
      </c>
      <c r="AK11" s="37">
        <v>2.5</v>
      </c>
      <c r="AL11" s="37">
        <v>4.4000000000000004</v>
      </c>
      <c r="AM11" s="49">
        <f t="shared" si="0"/>
        <v>80.599999999999994</v>
      </c>
      <c r="AN11" s="51">
        <f t="shared" si="21"/>
        <v>6</v>
      </c>
      <c r="AO11" s="22" t="s">
        <v>640</v>
      </c>
      <c r="AP11" s="22">
        <f t="shared" si="22"/>
        <v>4</v>
      </c>
      <c r="AQ11" s="149">
        <v>13.45</v>
      </c>
      <c r="AR11" s="149">
        <v>11.8</v>
      </c>
      <c r="AS11" s="149">
        <v>11.35</v>
      </c>
      <c r="AT11" s="149">
        <v>12.5</v>
      </c>
      <c r="AU11" s="149"/>
      <c r="AV11" s="180">
        <f t="shared" si="17"/>
        <v>12.275</v>
      </c>
      <c r="AW11" s="149">
        <v>11.9</v>
      </c>
      <c r="AX11" s="149">
        <v>12</v>
      </c>
      <c r="AY11" s="149">
        <v>12.1</v>
      </c>
      <c r="AZ11" s="149">
        <v>11.75</v>
      </c>
      <c r="BA11" s="81"/>
      <c r="BB11" s="181">
        <f t="shared" si="20"/>
        <v>11.9375</v>
      </c>
      <c r="BC11" s="160">
        <v>12</v>
      </c>
      <c r="BD11" s="185">
        <f t="shared" si="18"/>
        <v>-6.25E-2</v>
      </c>
      <c r="BE11" s="149">
        <v>12.05</v>
      </c>
      <c r="BF11" s="149">
        <v>12.5</v>
      </c>
      <c r="BG11" s="149">
        <v>11</v>
      </c>
      <c r="BH11" s="149">
        <v>11.55</v>
      </c>
      <c r="BI11" s="81"/>
      <c r="BJ11" s="181">
        <f t="shared" si="13"/>
        <v>11.774999999999999</v>
      </c>
      <c r="BK11" s="149">
        <v>11.6</v>
      </c>
      <c r="BL11" s="149">
        <v>13</v>
      </c>
      <c r="BM11" s="149">
        <v>11.6</v>
      </c>
      <c r="BN11" s="149">
        <v>11.6</v>
      </c>
      <c r="BO11" s="149"/>
      <c r="BP11" s="181">
        <f t="shared" si="14"/>
        <v>11.950000000000001</v>
      </c>
      <c r="BQ11" s="160">
        <v>11</v>
      </c>
      <c r="BR11" s="185">
        <f t="shared" si="19"/>
        <v>0</v>
      </c>
    </row>
    <row r="12" spans="1:70">
      <c r="A12" s="14" t="s">
        <v>100</v>
      </c>
      <c r="B12" s="14" t="s">
        <v>179</v>
      </c>
      <c r="C12" s="101" t="s">
        <v>264</v>
      </c>
      <c r="D12" s="101">
        <v>3</v>
      </c>
      <c r="E12" s="16">
        <v>0.54097222222222197</v>
      </c>
      <c r="F12" s="16">
        <v>0.58056712962962964</v>
      </c>
      <c r="G12" s="16">
        <v>0.7021412037037037</v>
      </c>
      <c r="H12" s="18">
        <f t="shared" si="1"/>
        <v>3.9594907407407676E-2</v>
      </c>
      <c r="I12" s="18">
        <f t="shared" si="2"/>
        <v>1.8159722222222396E-2</v>
      </c>
      <c r="J12" s="18">
        <f t="shared" si="23"/>
        <v>0.16116898148148173</v>
      </c>
      <c r="K12" s="16">
        <v>0.13194444444444445</v>
      </c>
      <c r="L12" s="16">
        <v>0.31944444444444448</v>
      </c>
      <c r="M12" s="16">
        <v>0.36380787037037038</v>
      </c>
      <c r="N12" s="16">
        <v>0.47751157407407407</v>
      </c>
      <c r="O12" s="18">
        <f t="shared" si="4"/>
        <v>4.4363425925925903E-2</v>
      </c>
      <c r="P12" s="18">
        <f t="shared" si="5"/>
        <v>2.1689814814814801E-2</v>
      </c>
      <c r="Q12" s="18">
        <f t="shared" si="24"/>
        <v>0.1580671296296296</v>
      </c>
      <c r="R12" s="16">
        <v>0.15972222222222224</v>
      </c>
      <c r="S12" s="37">
        <v>3</v>
      </c>
      <c r="T12" s="37">
        <v>0.5</v>
      </c>
      <c r="U12" s="37">
        <v>0.5</v>
      </c>
      <c r="V12" s="37">
        <v>0.5</v>
      </c>
      <c r="W12" s="19">
        <f t="shared" si="15"/>
        <v>1.9</v>
      </c>
      <c r="X12" s="19">
        <f t="shared" si="16"/>
        <v>0</v>
      </c>
      <c r="Y12" s="19">
        <f t="shared" si="7"/>
        <v>0</v>
      </c>
      <c r="Z12" s="19">
        <f t="shared" si="8"/>
        <v>5</v>
      </c>
      <c r="AA12" s="37">
        <v>8.3000000000000007</v>
      </c>
      <c r="AB12" s="37">
        <v>6.7</v>
      </c>
      <c r="AC12" s="37">
        <v>3.2</v>
      </c>
      <c r="AD12" s="37">
        <v>1.1000000000000001</v>
      </c>
      <c r="AE12" s="37">
        <v>1.4</v>
      </c>
      <c r="AF12" s="174">
        <f t="shared" si="9"/>
        <v>3.5</v>
      </c>
      <c r="AG12" s="37">
        <v>2</v>
      </c>
      <c r="AH12" s="37">
        <v>1.4</v>
      </c>
      <c r="AI12" s="37">
        <v>5</v>
      </c>
      <c r="AJ12" s="174">
        <f t="shared" si="10"/>
        <v>1</v>
      </c>
      <c r="AK12" s="37">
        <v>3</v>
      </c>
      <c r="AL12" s="37">
        <v>3.9</v>
      </c>
      <c r="AM12" s="49">
        <f t="shared" si="0"/>
        <v>47.4</v>
      </c>
      <c r="AN12" s="51">
        <f t="shared" si="21"/>
        <v>11</v>
      </c>
      <c r="AP12" s="22">
        <f t="shared" si="22"/>
        <v>10</v>
      </c>
      <c r="AQ12" s="149">
        <v>12.05</v>
      </c>
      <c r="AR12" s="149">
        <v>11.05</v>
      </c>
      <c r="AS12" s="149">
        <v>13.9</v>
      </c>
      <c r="AT12" s="149"/>
      <c r="AU12" s="149"/>
      <c r="AV12" s="180">
        <f t="shared" si="17"/>
        <v>12.333333333333334</v>
      </c>
      <c r="AW12" s="149">
        <v>11.95</v>
      </c>
      <c r="AX12" s="149">
        <v>12</v>
      </c>
      <c r="AY12" s="149">
        <v>14</v>
      </c>
      <c r="AZ12" s="149"/>
      <c r="BA12" s="149"/>
      <c r="BB12" s="181">
        <f t="shared" si="20"/>
        <v>12.65</v>
      </c>
      <c r="BC12" s="160">
        <v>12</v>
      </c>
      <c r="BD12" s="185">
        <f t="shared" si="18"/>
        <v>0</v>
      </c>
      <c r="BE12" s="149">
        <v>11.05</v>
      </c>
      <c r="BF12" s="149">
        <v>13.4</v>
      </c>
      <c r="BG12" s="149">
        <v>12.5</v>
      </c>
      <c r="BH12" s="149"/>
      <c r="BI12" s="149"/>
      <c r="BJ12" s="181">
        <f t="shared" si="13"/>
        <v>12.316666666666668</v>
      </c>
      <c r="BK12" s="149">
        <v>10.8</v>
      </c>
      <c r="BL12" s="149">
        <v>13</v>
      </c>
      <c r="BM12" s="149">
        <v>12.6</v>
      </c>
      <c r="BN12" s="149"/>
      <c r="BO12" s="149"/>
      <c r="BP12" s="181">
        <f t="shared" si="14"/>
        <v>12.133333333333333</v>
      </c>
      <c r="BQ12" s="160">
        <v>11</v>
      </c>
      <c r="BR12" s="185">
        <f t="shared" si="19"/>
        <v>0</v>
      </c>
    </row>
    <row r="13" spans="1:70">
      <c r="A13" s="14" t="s">
        <v>100</v>
      </c>
      <c r="B13" s="14" t="s">
        <v>101</v>
      </c>
      <c r="C13" s="101" t="s">
        <v>265</v>
      </c>
      <c r="D13" s="101">
        <v>4</v>
      </c>
      <c r="E13" s="46">
        <v>0.54166666666666696</v>
      </c>
      <c r="F13" s="16">
        <v>0.58041666666666669</v>
      </c>
      <c r="G13" s="16">
        <v>0.69062499999999993</v>
      </c>
      <c r="H13" s="18">
        <f t="shared" si="1"/>
        <v>3.8749999999999729E-2</v>
      </c>
      <c r="I13" s="18">
        <f t="shared" si="2"/>
        <v>1.731481481481445E-2</v>
      </c>
      <c r="J13" s="18">
        <f t="shared" si="23"/>
        <v>0.14895833333333297</v>
      </c>
      <c r="K13" s="16">
        <v>0.13194444444444445</v>
      </c>
      <c r="L13" s="16">
        <v>0.31875000000000003</v>
      </c>
      <c r="M13" s="16">
        <v>0.35549768518518521</v>
      </c>
      <c r="N13" s="16">
        <v>0.46562500000000001</v>
      </c>
      <c r="O13" s="18">
        <f t="shared" si="4"/>
        <v>3.6747685185185175E-2</v>
      </c>
      <c r="P13" s="18">
        <f t="shared" si="5"/>
        <v>1.4074074074074072E-2</v>
      </c>
      <c r="Q13" s="18">
        <f t="shared" si="24"/>
        <v>0.14687499999999998</v>
      </c>
      <c r="R13" s="16">
        <v>0.15972222222222224</v>
      </c>
      <c r="S13" s="37">
        <v>2</v>
      </c>
      <c r="T13" s="37">
        <v>1</v>
      </c>
      <c r="U13" s="37">
        <v>1</v>
      </c>
      <c r="V13" s="37">
        <v>2</v>
      </c>
      <c r="W13" s="19">
        <f t="shared" si="15"/>
        <v>2.5</v>
      </c>
      <c r="X13" s="19">
        <f t="shared" si="16"/>
        <v>4.9000000000000004</v>
      </c>
      <c r="Y13" s="19">
        <f t="shared" si="7"/>
        <v>0.1</v>
      </c>
      <c r="Z13" s="19">
        <f t="shared" si="8"/>
        <v>5</v>
      </c>
      <c r="AA13" s="37">
        <v>6.7</v>
      </c>
      <c r="AB13" s="37">
        <v>7.3</v>
      </c>
      <c r="AC13" s="37">
        <v>3.2</v>
      </c>
      <c r="AD13" s="37">
        <v>0.3</v>
      </c>
      <c r="AE13" s="37">
        <v>1.8</v>
      </c>
      <c r="AF13" s="174">
        <f t="shared" si="9"/>
        <v>3</v>
      </c>
      <c r="AG13" s="37">
        <v>1.4</v>
      </c>
      <c r="AH13" s="37">
        <v>1.4</v>
      </c>
      <c r="AI13" s="37">
        <v>5.2</v>
      </c>
      <c r="AJ13" s="174">
        <f t="shared" si="10"/>
        <v>3</v>
      </c>
      <c r="AK13" s="37">
        <v>2.5</v>
      </c>
      <c r="AL13" s="37">
        <v>4.9000000000000004</v>
      </c>
      <c r="AM13" s="49">
        <f t="shared" si="0"/>
        <v>53.199999999999996</v>
      </c>
      <c r="AN13" s="51">
        <f t="shared" si="21"/>
        <v>9</v>
      </c>
      <c r="AP13" s="22">
        <f t="shared" si="22"/>
        <v>9</v>
      </c>
      <c r="AQ13" s="149">
        <v>13.8</v>
      </c>
      <c r="AR13" s="149">
        <v>13.1</v>
      </c>
      <c r="AS13" s="149">
        <v>12.65</v>
      </c>
      <c r="AT13" s="149">
        <v>11.7</v>
      </c>
      <c r="AU13" s="149"/>
      <c r="AV13" s="180">
        <f t="shared" si="17"/>
        <v>12.8125</v>
      </c>
      <c r="AW13" s="149">
        <v>13.4</v>
      </c>
      <c r="AX13" s="149">
        <v>12.8</v>
      </c>
      <c r="AY13" s="149">
        <v>12.45</v>
      </c>
      <c r="AZ13" s="149">
        <v>11.7</v>
      </c>
      <c r="BA13" s="81"/>
      <c r="BB13" s="181">
        <f t="shared" si="20"/>
        <v>12.587500000000002</v>
      </c>
      <c r="BC13" s="160">
        <v>12</v>
      </c>
      <c r="BD13" s="185">
        <f t="shared" si="18"/>
        <v>0</v>
      </c>
      <c r="BE13" s="149">
        <v>13.6</v>
      </c>
      <c r="BF13" s="149">
        <v>12.5</v>
      </c>
      <c r="BG13" s="149">
        <v>11.5</v>
      </c>
      <c r="BH13" s="149">
        <v>10.8</v>
      </c>
      <c r="BI13" s="81"/>
      <c r="BJ13" s="181">
        <f t="shared" si="13"/>
        <v>12.100000000000001</v>
      </c>
      <c r="BK13" s="149">
        <v>13.6</v>
      </c>
      <c r="BL13" s="149">
        <v>11.6</v>
      </c>
      <c r="BM13" s="149">
        <v>11.4</v>
      </c>
      <c r="BN13" s="149">
        <v>10.8</v>
      </c>
      <c r="BO13" s="149"/>
      <c r="BP13" s="181">
        <f t="shared" si="14"/>
        <v>11.850000000000001</v>
      </c>
      <c r="BQ13" s="160">
        <v>11</v>
      </c>
      <c r="BR13" s="185">
        <f t="shared" si="19"/>
        <v>0</v>
      </c>
    </row>
    <row r="14" spans="1:70">
      <c r="A14" s="14" t="s">
        <v>100</v>
      </c>
      <c r="B14" s="14" t="s">
        <v>213</v>
      </c>
      <c r="C14" s="101" t="s">
        <v>266</v>
      </c>
      <c r="D14" s="101">
        <v>5</v>
      </c>
      <c r="E14" s="46">
        <v>0.54236111111111096</v>
      </c>
      <c r="F14" s="16">
        <v>0.59290509259259261</v>
      </c>
      <c r="G14" s="16">
        <v>0.68495370370370379</v>
      </c>
      <c r="H14" s="18">
        <f t="shared" si="1"/>
        <v>5.0543981481481648E-2</v>
      </c>
      <c r="I14" s="18">
        <f t="shared" si="2"/>
        <v>2.9108796296296369E-2</v>
      </c>
      <c r="J14" s="18">
        <f t="shared" si="23"/>
        <v>0.14259259259259283</v>
      </c>
      <c r="K14" s="16">
        <v>0.13194444444444445</v>
      </c>
      <c r="L14" s="16">
        <v>0.32083333333333336</v>
      </c>
      <c r="M14" s="16">
        <v>0.36605324074074069</v>
      </c>
      <c r="N14" s="16">
        <v>0.47858796296296297</v>
      </c>
      <c r="O14" s="18">
        <f t="shared" si="4"/>
        <v>4.5219907407407334E-2</v>
      </c>
      <c r="P14" s="18">
        <f t="shared" si="5"/>
        <v>2.2546296296296231E-2</v>
      </c>
      <c r="Q14" s="18">
        <f t="shared" si="24"/>
        <v>0.15775462962962961</v>
      </c>
      <c r="R14" s="16">
        <v>0.15972222222222224</v>
      </c>
      <c r="S14" s="37">
        <v>0</v>
      </c>
      <c r="T14" s="37">
        <v>0</v>
      </c>
      <c r="U14" s="37">
        <v>0</v>
      </c>
      <c r="V14" s="37">
        <v>1</v>
      </c>
      <c r="W14" s="19">
        <f t="shared" si="15"/>
        <v>0</v>
      </c>
      <c r="X14" s="19">
        <f t="shared" si="16"/>
        <v>0</v>
      </c>
      <c r="Y14" s="19">
        <f t="shared" si="7"/>
        <v>1.9</v>
      </c>
      <c r="Z14" s="19">
        <f t="shared" si="8"/>
        <v>5</v>
      </c>
      <c r="AA14" s="37">
        <v>4.9000000000000004</v>
      </c>
      <c r="AB14" s="37">
        <v>6.9</v>
      </c>
      <c r="AC14" s="37">
        <v>4</v>
      </c>
      <c r="AD14" s="37">
        <v>0</v>
      </c>
      <c r="AE14" s="37">
        <v>1.6</v>
      </c>
      <c r="AF14" s="174">
        <f t="shared" si="9"/>
        <v>0</v>
      </c>
      <c r="AG14" s="37">
        <v>1.4</v>
      </c>
      <c r="AH14" s="37">
        <v>1.2</v>
      </c>
      <c r="AI14" s="37">
        <v>4.2</v>
      </c>
      <c r="AJ14" s="174">
        <f t="shared" si="10"/>
        <v>1</v>
      </c>
      <c r="AK14" s="37">
        <v>2.5</v>
      </c>
      <c r="AL14" s="37">
        <v>4.9000000000000004</v>
      </c>
      <c r="AM14" s="49">
        <f t="shared" si="0"/>
        <v>39.5</v>
      </c>
      <c r="AN14" s="51">
        <f t="shared" si="21"/>
        <v>12</v>
      </c>
      <c r="AP14" s="22">
        <f t="shared" si="22"/>
        <v>12</v>
      </c>
      <c r="AQ14" s="149">
        <v>19.649999999999999</v>
      </c>
      <c r="AR14" s="149">
        <v>15.65</v>
      </c>
      <c r="AS14" s="149">
        <v>16.100000000000001</v>
      </c>
      <c r="AT14" s="149">
        <v>17.55</v>
      </c>
      <c r="AU14" s="149">
        <v>13.8</v>
      </c>
      <c r="AV14" s="180">
        <f t="shared" si="17"/>
        <v>16.55</v>
      </c>
      <c r="AW14" s="149">
        <v>19</v>
      </c>
      <c r="AX14" s="149">
        <v>14.8</v>
      </c>
      <c r="AY14" s="149">
        <v>15.4</v>
      </c>
      <c r="AZ14" s="149">
        <v>16.850000000000001</v>
      </c>
      <c r="BA14" s="81">
        <v>13</v>
      </c>
      <c r="BB14" s="181">
        <f t="shared" si="20"/>
        <v>15.809999999999999</v>
      </c>
      <c r="BC14" s="160">
        <v>12</v>
      </c>
      <c r="BD14" s="185">
        <f t="shared" si="18"/>
        <v>0</v>
      </c>
      <c r="BE14" s="149">
        <v>18.399999999999999</v>
      </c>
      <c r="BF14" s="149">
        <v>13.1</v>
      </c>
      <c r="BG14" s="149">
        <v>13.9</v>
      </c>
      <c r="BH14" s="149">
        <v>15.2</v>
      </c>
      <c r="BI14" s="81">
        <v>12.5</v>
      </c>
      <c r="BJ14" s="181">
        <f>AVERAGE(BE14:BI14)</f>
        <v>14.62</v>
      </c>
      <c r="BK14" s="149">
        <v>12.8</v>
      </c>
      <c r="BL14" s="149">
        <v>13.2</v>
      </c>
      <c r="BM14" s="149">
        <v>11.6</v>
      </c>
      <c r="BN14" s="149">
        <v>15.2</v>
      </c>
      <c r="BO14" s="149">
        <v>18.399999999999999</v>
      </c>
      <c r="BP14" s="181">
        <f>AVERAGE(BK14:BO14)</f>
        <v>14.239999999999998</v>
      </c>
      <c r="BQ14" s="160">
        <v>11</v>
      </c>
      <c r="BR14" s="185">
        <f t="shared" si="19"/>
        <v>0</v>
      </c>
    </row>
    <row r="15" spans="1:70">
      <c r="A15" s="14" t="s">
        <v>100</v>
      </c>
      <c r="B15" s="14" t="s">
        <v>184</v>
      </c>
      <c r="C15" s="101" t="s">
        <v>267</v>
      </c>
      <c r="D15" s="101">
        <v>4</v>
      </c>
      <c r="E15" s="46">
        <v>0.54305555555555596</v>
      </c>
      <c r="F15" s="16">
        <v>0.56827546296296294</v>
      </c>
      <c r="G15" s="16">
        <v>0.66261574074074081</v>
      </c>
      <c r="H15" s="18">
        <f t="shared" si="1"/>
        <v>2.5219907407406983E-2</v>
      </c>
      <c r="I15" s="18">
        <f t="shared" si="2"/>
        <v>3.7847222222217036E-3</v>
      </c>
      <c r="J15" s="18">
        <f t="shared" si="23"/>
        <v>0.11956018518518485</v>
      </c>
      <c r="K15" s="16">
        <v>0.13194444444444445</v>
      </c>
      <c r="L15" s="16">
        <v>0.31388888888888888</v>
      </c>
      <c r="M15" s="16">
        <v>0.33953703703703703</v>
      </c>
      <c r="N15" s="16">
        <v>0.46724537037037034</v>
      </c>
      <c r="O15" s="18">
        <f t="shared" si="4"/>
        <v>2.5648148148148142E-2</v>
      </c>
      <c r="P15" s="18">
        <f t="shared" si="5"/>
        <v>2.9745370370370394E-3</v>
      </c>
      <c r="Q15" s="18">
        <f t="shared" si="24"/>
        <v>0.15335648148148145</v>
      </c>
      <c r="R15" s="16">
        <v>0.15972222222222224</v>
      </c>
      <c r="S15" s="37">
        <v>4</v>
      </c>
      <c r="T15" s="37">
        <v>2</v>
      </c>
      <c r="U15" s="37">
        <v>1</v>
      </c>
      <c r="V15" s="37">
        <v>2</v>
      </c>
      <c r="W15" s="19">
        <f t="shared" si="15"/>
        <v>12.3</v>
      </c>
      <c r="X15" s="19">
        <f t="shared" si="16"/>
        <v>12.9</v>
      </c>
      <c r="Y15" s="19">
        <f t="shared" si="7"/>
        <v>5</v>
      </c>
      <c r="Z15" s="19">
        <f t="shared" si="8"/>
        <v>5</v>
      </c>
      <c r="AA15" s="37">
        <v>10</v>
      </c>
      <c r="AB15" s="37">
        <v>8</v>
      </c>
      <c r="AC15" s="37">
        <v>4</v>
      </c>
      <c r="AD15" s="37">
        <v>4.9000000000000004</v>
      </c>
      <c r="AE15" s="37">
        <v>1.6</v>
      </c>
      <c r="AF15" s="174">
        <f t="shared" si="9"/>
        <v>6</v>
      </c>
      <c r="AG15" s="37">
        <v>3.4</v>
      </c>
      <c r="AH15" s="37">
        <v>1.6</v>
      </c>
      <c r="AI15" s="37">
        <v>6</v>
      </c>
      <c r="AJ15" s="174">
        <f t="shared" si="10"/>
        <v>3</v>
      </c>
      <c r="AK15" s="37">
        <v>3</v>
      </c>
      <c r="AL15" s="37">
        <v>4.9000000000000004</v>
      </c>
      <c r="AM15" s="49">
        <f t="shared" si="0"/>
        <v>91.600000000000009</v>
      </c>
      <c r="AN15" s="51">
        <f t="shared" si="21"/>
        <v>3</v>
      </c>
      <c r="AP15" s="22">
        <f t="shared" si="22"/>
        <v>2</v>
      </c>
      <c r="AQ15" s="149">
        <v>11.95</v>
      </c>
      <c r="AR15" s="149">
        <v>11.95</v>
      </c>
      <c r="AS15" s="149">
        <v>13.15</v>
      </c>
      <c r="AT15" s="149">
        <v>12</v>
      </c>
      <c r="AU15" s="149"/>
      <c r="AV15" s="180">
        <f t="shared" si="17"/>
        <v>12.262499999999999</v>
      </c>
      <c r="AW15" s="149">
        <v>11.9</v>
      </c>
      <c r="AX15" s="149">
        <v>12</v>
      </c>
      <c r="AY15" s="149">
        <v>13.2</v>
      </c>
      <c r="AZ15" s="149">
        <v>11.8</v>
      </c>
      <c r="BA15" s="81"/>
      <c r="BB15" s="181">
        <f t="shared" si="20"/>
        <v>12.224999999999998</v>
      </c>
      <c r="BC15" s="160">
        <v>12</v>
      </c>
      <c r="BD15" s="185">
        <f t="shared" si="18"/>
        <v>0</v>
      </c>
      <c r="BE15" s="149">
        <v>11.2</v>
      </c>
      <c r="BF15" s="149">
        <v>12.55</v>
      </c>
      <c r="BG15" s="149">
        <v>10.8</v>
      </c>
      <c r="BH15" s="149">
        <v>10.95</v>
      </c>
      <c r="BI15" s="81"/>
      <c r="BJ15" s="181">
        <f>AVERAGE(BE15:BH15)</f>
        <v>11.375</v>
      </c>
      <c r="BK15" s="149">
        <v>11.6</v>
      </c>
      <c r="BL15" s="149">
        <v>12</v>
      </c>
      <c r="BM15" s="149">
        <v>11.2</v>
      </c>
      <c r="BN15" s="149">
        <v>12</v>
      </c>
      <c r="BO15" s="149"/>
      <c r="BP15" s="181">
        <f t="shared" si="14"/>
        <v>11.7</v>
      </c>
      <c r="BQ15" s="160">
        <v>11</v>
      </c>
      <c r="BR15" s="185">
        <f t="shared" si="19"/>
        <v>0</v>
      </c>
    </row>
    <row r="16" spans="1:70">
      <c r="A16" s="14" t="s">
        <v>100</v>
      </c>
      <c r="B16" s="14" t="s">
        <v>208</v>
      </c>
      <c r="C16" s="101" t="s">
        <v>268</v>
      </c>
      <c r="D16" s="101">
        <v>4</v>
      </c>
      <c r="E16" s="16">
        <v>0.54374999999999996</v>
      </c>
      <c r="F16" s="16">
        <v>0.57261574074074073</v>
      </c>
      <c r="G16" s="16">
        <v>0.65734953703703702</v>
      </c>
      <c r="H16" s="18">
        <f t="shared" si="1"/>
        <v>2.8865740740740775E-2</v>
      </c>
      <c r="I16" s="18">
        <f t="shared" si="2"/>
        <v>7.4305555555554959E-3</v>
      </c>
      <c r="J16" s="18">
        <f t="shared" si="23"/>
        <v>0.11359953703703707</v>
      </c>
      <c r="K16" s="16">
        <v>0.13194444444444445</v>
      </c>
      <c r="L16" s="16">
        <v>0.31666666666666665</v>
      </c>
      <c r="M16" s="16">
        <v>0.34618055555555555</v>
      </c>
      <c r="N16" s="16">
        <v>0.44895833333333335</v>
      </c>
      <c r="O16" s="18">
        <f t="shared" si="4"/>
        <v>2.9513888888888895E-2</v>
      </c>
      <c r="P16" s="18">
        <f t="shared" si="5"/>
        <v>6.8402777777777923E-3</v>
      </c>
      <c r="Q16" s="18">
        <f t="shared" si="24"/>
        <v>0.1322916666666667</v>
      </c>
      <c r="R16" s="16">
        <v>0.15972222222222224</v>
      </c>
      <c r="S16" s="37">
        <v>1.5</v>
      </c>
      <c r="T16" s="37">
        <v>1</v>
      </c>
      <c r="U16" s="37">
        <v>1</v>
      </c>
      <c r="V16" s="37">
        <v>2</v>
      </c>
      <c r="W16" s="19">
        <f t="shared" si="15"/>
        <v>9.6999999999999993</v>
      </c>
      <c r="X16" s="19">
        <f t="shared" si="16"/>
        <v>10.1</v>
      </c>
      <c r="Y16" s="19">
        <f t="shared" si="7"/>
        <v>5</v>
      </c>
      <c r="Z16" s="19">
        <f t="shared" si="8"/>
        <v>5</v>
      </c>
      <c r="AA16" s="37">
        <v>8.1</v>
      </c>
      <c r="AB16" s="37">
        <v>7.8</v>
      </c>
      <c r="AC16" s="37">
        <v>3</v>
      </c>
      <c r="AD16" s="37">
        <v>2.2999999999999998</v>
      </c>
      <c r="AE16" s="37">
        <v>2</v>
      </c>
      <c r="AF16" s="174">
        <f t="shared" si="9"/>
        <v>2.5</v>
      </c>
      <c r="AG16" s="37">
        <v>2.4</v>
      </c>
      <c r="AH16" s="37">
        <v>1.8</v>
      </c>
      <c r="AI16" s="37">
        <v>5</v>
      </c>
      <c r="AJ16" s="174">
        <f t="shared" si="10"/>
        <v>3</v>
      </c>
      <c r="AK16" s="37">
        <v>3</v>
      </c>
      <c r="AL16" s="37">
        <v>4.9000000000000004</v>
      </c>
      <c r="AM16" s="49">
        <f t="shared" si="0"/>
        <v>75.599999999999994</v>
      </c>
      <c r="AN16" s="51">
        <f t="shared" si="21"/>
        <v>7</v>
      </c>
      <c r="AP16" s="22">
        <f t="shared" si="22"/>
        <v>6</v>
      </c>
      <c r="AQ16" s="149">
        <v>13.4</v>
      </c>
      <c r="AR16" s="149">
        <v>14.25</v>
      </c>
      <c r="AS16" s="149">
        <v>13.35</v>
      </c>
      <c r="AT16" s="149">
        <v>13.3</v>
      </c>
      <c r="AU16" s="149"/>
      <c r="AV16" s="180">
        <f t="shared" si="17"/>
        <v>13.574999999999999</v>
      </c>
      <c r="AW16" s="149">
        <v>13.95</v>
      </c>
      <c r="AX16" s="149">
        <v>13.05</v>
      </c>
      <c r="AY16" s="149">
        <v>13</v>
      </c>
      <c r="AZ16" s="149">
        <v>13.1</v>
      </c>
      <c r="BA16" s="81"/>
      <c r="BB16" s="181">
        <f t="shared" si="20"/>
        <v>13.275</v>
      </c>
      <c r="BC16" s="160">
        <v>12</v>
      </c>
      <c r="BD16" s="185">
        <f t="shared" si="18"/>
        <v>0</v>
      </c>
      <c r="BE16" s="149">
        <v>13</v>
      </c>
      <c r="BF16" s="149">
        <v>13.25</v>
      </c>
      <c r="BG16" s="149">
        <v>12.5</v>
      </c>
      <c r="BH16" s="149">
        <v>12.85</v>
      </c>
      <c r="BI16" s="81"/>
      <c r="BJ16" s="181">
        <f>AVERAGE(BE16:BH16)</f>
        <v>12.9</v>
      </c>
      <c r="BK16" s="149">
        <v>13.4</v>
      </c>
      <c r="BL16" s="149">
        <v>13.2</v>
      </c>
      <c r="BM16" s="149">
        <v>13</v>
      </c>
      <c r="BN16" s="149">
        <v>12.6</v>
      </c>
      <c r="BO16" s="149"/>
      <c r="BP16" s="181">
        <f t="shared" si="14"/>
        <v>13.05</v>
      </c>
      <c r="BQ16" s="160">
        <v>11</v>
      </c>
      <c r="BR16" s="185">
        <f t="shared" si="19"/>
        <v>0</v>
      </c>
    </row>
    <row r="17" spans="1:70">
      <c r="A17" s="14" t="s">
        <v>100</v>
      </c>
      <c r="B17" s="44" t="s">
        <v>590</v>
      </c>
      <c r="C17" s="101" t="s">
        <v>610</v>
      </c>
      <c r="D17" s="101">
        <v>3</v>
      </c>
      <c r="E17" s="46">
        <v>0.54444444444444395</v>
      </c>
      <c r="F17" s="16">
        <v>0.57712962962962966</v>
      </c>
      <c r="G17" s="16">
        <v>0.65665509259259258</v>
      </c>
      <c r="H17" s="18">
        <f t="shared" si="1"/>
        <v>3.2685185185185706E-2</v>
      </c>
      <c r="I17" s="18">
        <f t="shared" si="2"/>
        <v>1.1250000000000426E-2</v>
      </c>
      <c r="J17" s="18">
        <f t="shared" si="23"/>
        <v>0.11221064814814863</v>
      </c>
      <c r="K17" s="16">
        <v>0.13194444444444445</v>
      </c>
      <c r="L17" s="16">
        <v>0.31805555555555554</v>
      </c>
      <c r="M17" s="16">
        <v>0.34800925925925924</v>
      </c>
      <c r="N17" s="16">
        <v>0.45340277777777777</v>
      </c>
      <c r="O17" s="18">
        <f t="shared" si="4"/>
        <v>2.9953703703703705E-2</v>
      </c>
      <c r="P17" s="18">
        <f t="shared" si="5"/>
        <v>7.2800925925926019E-3</v>
      </c>
      <c r="Q17" s="18">
        <f t="shared" si="24"/>
        <v>0.13534722222222223</v>
      </c>
      <c r="R17" s="16">
        <v>0.15972222222222224</v>
      </c>
      <c r="S17" s="37">
        <v>1</v>
      </c>
      <c r="T17" s="37">
        <v>0</v>
      </c>
      <c r="U17" s="37">
        <v>1</v>
      </c>
      <c r="V17" s="37">
        <v>1.7</v>
      </c>
      <c r="W17" s="19">
        <f t="shared" si="15"/>
        <v>6.7</v>
      </c>
      <c r="X17" s="19">
        <f t="shared" si="16"/>
        <v>9.8000000000000007</v>
      </c>
      <c r="Y17" s="19">
        <f t="shared" si="7"/>
        <v>5</v>
      </c>
      <c r="Z17" s="19">
        <f t="shared" si="8"/>
        <v>5</v>
      </c>
      <c r="AA17" s="37">
        <v>8.6</v>
      </c>
      <c r="AB17" s="37">
        <v>8</v>
      </c>
      <c r="AC17" s="37">
        <v>3.2</v>
      </c>
      <c r="AD17" s="37">
        <v>0.2</v>
      </c>
      <c r="AE17" s="37">
        <v>1.6</v>
      </c>
      <c r="AF17" s="174">
        <f t="shared" si="9"/>
        <v>1</v>
      </c>
      <c r="AG17" s="37">
        <v>0.8</v>
      </c>
      <c r="AH17" s="37">
        <v>1.2</v>
      </c>
      <c r="AI17" s="37">
        <v>5.3</v>
      </c>
      <c r="AJ17" s="174">
        <f t="shared" si="10"/>
        <v>2.7</v>
      </c>
      <c r="AK17" s="37">
        <v>2.5</v>
      </c>
      <c r="AL17" s="37">
        <v>4.4000000000000004</v>
      </c>
      <c r="AM17" s="49">
        <f t="shared" si="0"/>
        <v>66.000000000000014</v>
      </c>
      <c r="AN17" s="51">
        <f t="shared" si="21"/>
        <v>8</v>
      </c>
      <c r="AO17" s="22" t="s">
        <v>652</v>
      </c>
      <c r="AP17" s="22">
        <f t="shared" si="22"/>
        <v>8</v>
      </c>
      <c r="AQ17" s="149">
        <v>12.75</v>
      </c>
      <c r="AR17" s="149">
        <v>11.75</v>
      </c>
      <c r="AS17" s="149">
        <v>12.6</v>
      </c>
      <c r="AT17" s="149"/>
      <c r="AU17" s="149"/>
      <c r="AV17" s="180">
        <f t="shared" si="17"/>
        <v>12.366666666666667</v>
      </c>
      <c r="AW17" s="149">
        <v>12.4</v>
      </c>
      <c r="AX17" s="149">
        <v>11.95</v>
      </c>
      <c r="AY17" s="149">
        <v>11.05</v>
      </c>
      <c r="AZ17" s="149"/>
      <c r="BA17" s="81"/>
      <c r="BB17" s="181">
        <f t="shared" si="20"/>
        <v>11.800000000000002</v>
      </c>
      <c r="BC17" s="160">
        <v>12</v>
      </c>
      <c r="BD17" s="185">
        <f t="shared" si="18"/>
        <v>-0.19999999999999751</v>
      </c>
      <c r="BE17" s="149">
        <v>11.45</v>
      </c>
      <c r="BF17" s="149">
        <v>11.45</v>
      </c>
      <c r="BG17" s="149">
        <v>12.2</v>
      </c>
      <c r="BH17" s="149"/>
      <c r="BI17" s="81"/>
      <c r="BJ17" s="181">
        <f>AVERAGE(BE17:BH17)</f>
        <v>11.699999999999998</v>
      </c>
      <c r="BK17" s="149">
        <v>12</v>
      </c>
      <c r="BL17" s="149">
        <v>10.8</v>
      </c>
      <c r="BM17" s="149">
        <v>13.6</v>
      </c>
      <c r="BN17" s="149"/>
      <c r="BO17" s="149"/>
      <c r="BP17" s="181">
        <f t="shared" si="14"/>
        <v>12.133333333333333</v>
      </c>
      <c r="BQ17" s="160">
        <v>11</v>
      </c>
      <c r="BR17" s="185">
        <f t="shared" si="19"/>
        <v>0</v>
      </c>
    </row>
    <row r="18" spans="1:70">
      <c r="A18" s="14" t="s">
        <v>100</v>
      </c>
      <c r="B18" s="14" t="s">
        <v>209</v>
      </c>
      <c r="C18" s="101" t="s">
        <v>626</v>
      </c>
      <c r="D18" s="101">
        <v>4</v>
      </c>
      <c r="E18" s="16">
        <v>0.54513888888888895</v>
      </c>
      <c r="F18" s="16">
        <v>0.57042824074074072</v>
      </c>
      <c r="G18" s="16">
        <v>0.66099537037037037</v>
      </c>
      <c r="H18" s="18">
        <f t="shared" si="1"/>
        <v>2.5289351851851771E-2</v>
      </c>
      <c r="I18" s="18">
        <f t="shared" si="2"/>
        <v>3.854166666666492E-3</v>
      </c>
      <c r="J18" s="18">
        <f t="shared" si="23"/>
        <v>0.11585648148148142</v>
      </c>
      <c r="K18" s="16">
        <v>0.13194444444444445</v>
      </c>
      <c r="L18" s="16">
        <v>0.31458333333333333</v>
      </c>
      <c r="M18" s="16">
        <v>0.34060185185185188</v>
      </c>
      <c r="N18" s="16">
        <v>0.44987268518518514</v>
      </c>
      <c r="O18" s="18">
        <f t="shared" si="4"/>
        <v>2.6018518518518552E-2</v>
      </c>
      <c r="P18" s="18">
        <f t="shared" si="5"/>
        <v>3.3449074074074492E-3</v>
      </c>
      <c r="Q18" s="18">
        <f t="shared" si="24"/>
        <v>0.13528935185185181</v>
      </c>
      <c r="R18" s="16">
        <v>0.15972222222222224</v>
      </c>
      <c r="S18" s="37">
        <v>4</v>
      </c>
      <c r="T18" s="37">
        <v>3</v>
      </c>
      <c r="U18" s="37">
        <v>1</v>
      </c>
      <c r="V18" s="37">
        <v>2.5</v>
      </c>
      <c r="W18" s="19">
        <f t="shared" si="15"/>
        <v>12.2</v>
      </c>
      <c r="X18" s="19">
        <f t="shared" si="16"/>
        <v>12.6</v>
      </c>
      <c r="Y18" s="19">
        <f t="shared" si="7"/>
        <v>5</v>
      </c>
      <c r="Z18" s="19">
        <f t="shared" si="8"/>
        <v>5</v>
      </c>
      <c r="AA18" s="37">
        <v>9.5</v>
      </c>
      <c r="AB18" s="37">
        <v>8</v>
      </c>
      <c r="AC18" s="37">
        <v>4</v>
      </c>
      <c r="AD18" s="37">
        <v>4.3</v>
      </c>
      <c r="AE18" s="37">
        <v>1.4</v>
      </c>
      <c r="AF18" s="174">
        <f t="shared" si="9"/>
        <v>7</v>
      </c>
      <c r="AG18" s="37">
        <v>3.6</v>
      </c>
      <c r="AH18" s="37">
        <v>1.8</v>
      </c>
      <c r="AI18" s="37">
        <v>6</v>
      </c>
      <c r="AJ18" s="174">
        <f t="shared" si="10"/>
        <v>3.5</v>
      </c>
      <c r="AK18" s="37">
        <v>3</v>
      </c>
      <c r="AL18" s="37">
        <v>4.9000000000000004</v>
      </c>
      <c r="AM18" s="49">
        <f t="shared" si="0"/>
        <v>91.8</v>
      </c>
      <c r="AN18" s="51">
        <f t="shared" si="21"/>
        <v>2</v>
      </c>
      <c r="AP18" s="22">
        <f t="shared" si="22"/>
        <v>3</v>
      </c>
      <c r="AQ18" s="149">
        <v>12.05</v>
      </c>
      <c r="AR18" s="149">
        <v>12.6</v>
      </c>
      <c r="AS18" s="149">
        <v>11.6</v>
      </c>
      <c r="AT18" s="149">
        <v>12.75</v>
      </c>
      <c r="AU18" s="149"/>
      <c r="AV18" s="180">
        <f t="shared" si="17"/>
        <v>12.25</v>
      </c>
      <c r="AW18" s="149">
        <v>12.1</v>
      </c>
      <c r="AX18" s="149">
        <v>12.6</v>
      </c>
      <c r="AY18" s="149">
        <v>11.4</v>
      </c>
      <c r="AZ18" s="149">
        <v>12.7</v>
      </c>
      <c r="BA18" s="81"/>
      <c r="BB18" s="181">
        <f t="shared" si="20"/>
        <v>12.2</v>
      </c>
      <c r="BC18" s="160">
        <v>12</v>
      </c>
      <c r="BD18" s="185">
        <f t="shared" si="18"/>
        <v>0</v>
      </c>
      <c r="BE18" s="149">
        <v>11.7</v>
      </c>
      <c r="BF18" s="149">
        <v>11.55</v>
      </c>
      <c r="BG18" s="149">
        <v>11.25</v>
      </c>
      <c r="BH18" s="149">
        <v>11.4</v>
      </c>
      <c r="BI18" s="81"/>
      <c r="BJ18" s="181">
        <f>AVERAGE(BE18:BH18)</f>
        <v>11.475</v>
      </c>
      <c r="BK18" s="149">
        <v>11.8</v>
      </c>
      <c r="BL18" s="149">
        <v>11.6</v>
      </c>
      <c r="BM18" s="149">
        <v>11.2</v>
      </c>
      <c r="BN18" s="149">
        <v>11.4</v>
      </c>
      <c r="BO18" s="149"/>
      <c r="BP18" s="181">
        <f t="shared" si="14"/>
        <v>11.499999999999998</v>
      </c>
      <c r="BQ18" s="160">
        <v>11</v>
      </c>
      <c r="BR18" s="185">
        <f t="shared" si="19"/>
        <v>0</v>
      </c>
    </row>
    <row r="19" spans="1:70">
      <c r="A19" s="14" t="s">
        <v>100</v>
      </c>
      <c r="B19" s="14" t="s">
        <v>210</v>
      </c>
      <c r="C19" s="101" t="s">
        <v>627</v>
      </c>
      <c r="D19" s="101">
        <v>3</v>
      </c>
      <c r="E19" s="46">
        <v>0.54583333333333295</v>
      </c>
      <c r="F19" s="16">
        <v>0.57600694444444445</v>
      </c>
      <c r="G19" s="16">
        <v>0.6592824074074074</v>
      </c>
      <c r="H19" s="18">
        <f t="shared" si="1"/>
        <v>3.0173611111111498E-2</v>
      </c>
      <c r="I19" s="18">
        <f t="shared" si="2"/>
        <v>8.7384259259262187E-3</v>
      </c>
      <c r="J19" s="18">
        <f t="shared" si="23"/>
        <v>0.11344907407407445</v>
      </c>
      <c r="K19" s="16">
        <v>0.13194444444444445</v>
      </c>
      <c r="L19" s="16">
        <v>0.31736111111111115</v>
      </c>
      <c r="M19" s="16">
        <v>0.34412037037037035</v>
      </c>
      <c r="N19" s="16">
        <v>0.44959490740740743</v>
      </c>
      <c r="O19" s="18">
        <f t="shared" si="4"/>
        <v>2.6759259259259205E-2</v>
      </c>
      <c r="P19" s="18">
        <f t="shared" si="5"/>
        <v>4.0856481481481022E-3</v>
      </c>
      <c r="Q19" s="18">
        <f t="shared" si="24"/>
        <v>0.13223379629629628</v>
      </c>
      <c r="R19" s="16">
        <v>0.15972222222222224</v>
      </c>
      <c r="S19" s="37">
        <v>2</v>
      </c>
      <c r="T19" s="37">
        <v>2</v>
      </c>
      <c r="U19" s="37">
        <v>1</v>
      </c>
      <c r="V19" s="37">
        <v>3</v>
      </c>
      <c r="W19" s="19">
        <f t="shared" si="15"/>
        <v>8.6999999999999993</v>
      </c>
      <c r="X19" s="19">
        <f t="shared" si="16"/>
        <v>12.1</v>
      </c>
      <c r="Y19" s="19">
        <f t="shared" si="7"/>
        <v>5</v>
      </c>
      <c r="Z19" s="19">
        <f t="shared" si="8"/>
        <v>5</v>
      </c>
      <c r="AA19" s="37">
        <v>9.5</v>
      </c>
      <c r="AB19" s="37">
        <v>7.8</v>
      </c>
      <c r="AC19" s="37">
        <v>4</v>
      </c>
      <c r="AD19" s="37">
        <v>1.8</v>
      </c>
      <c r="AE19" s="37">
        <v>2</v>
      </c>
      <c r="AF19" s="174">
        <f t="shared" si="9"/>
        <v>4</v>
      </c>
      <c r="AG19" s="37">
        <v>2.4</v>
      </c>
      <c r="AH19" s="37">
        <v>1.8</v>
      </c>
      <c r="AI19" s="37">
        <v>5.9</v>
      </c>
      <c r="AJ19" s="174">
        <f t="shared" si="10"/>
        <v>4</v>
      </c>
      <c r="AK19" s="37">
        <v>3</v>
      </c>
      <c r="AL19" s="37">
        <v>4.9000000000000004</v>
      </c>
      <c r="AM19" s="49">
        <f t="shared" si="0"/>
        <v>81.900000000000006</v>
      </c>
      <c r="AN19" s="51">
        <f t="shared" si="21"/>
        <v>5</v>
      </c>
      <c r="AP19" s="22">
        <f t="shared" si="22"/>
        <v>7</v>
      </c>
      <c r="AQ19" s="149">
        <v>13.05</v>
      </c>
      <c r="AR19" s="149">
        <v>13.6</v>
      </c>
      <c r="AS19" s="149">
        <v>13.45</v>
      </c>
      <c r="AT19" s="149"/>
      <c r="AU19" s="127"/>
      <c r="AV19" s="180">
        <f t="shared" si="17"/>
        <v>13.366666666666665</v>
      </c>
      <c r="AW19" s="149">
        <v>13.6</v>
      </c>
      <c r="AX19" s="149">
        <v>13.1</v>
      </c>
      <c r="AY19" s="149">
        <v>13.65</v>
      </c>
      <c r="AZ19" s="149"/>
      <c r="BB19" s="181">
        <f t="shared" si="20"/>
        <v>13.450000000000001</v>
      </c>
      <c r="BC19" s="160">
        <v>12</v>
      </c>
      <c r="BD19" s="185">
        <f t="shared" si="18"/>
        <v>0</v>
      </c>
      <c r="BE19" s="149">
        <v>11.9</v>
      </c>
      <c r="BF19" s="149">
        <v>12.3</v>
      </c>
      <c r="BG19" s="149">
        <v>12.7</v>
      </c>
      <c r="BH19" s="149"/>
      <c r="BJ19" s="181">
        <f>AVERAGE(BE19:BH19)</f>
        <v>12.300000000000002</v>
      </c>
      <c r="BK19" s="149">
        <v>12.6</v>
      </c>
      <c r="BL19" s="149">
        <v>12.2</v>
      </c>
      <c r="BM19" s="149">
        <v>12.8</v>
      </c>
      <c r="BN19" s="127"/>
      <c r="BO19" s="127"/>
      <c r="BP19" s="181">
        <f t="shared" si="14"/>
        <v>12.533333333333331</v>
      </c>
      <c r="BQ19" s="160">
        <v>11</v>
      </c>
      <c r="BR19" s="185">
        <f t="shared" si="19"/>
        <v>0</v>
      </c>
    </row>
    <row r="20" spans="1:70" ht="14.25" thickBot="1">
      <c r="A20" s="62" t="s">
        <v>100</v>
      </c>
      <c r="B20" s="62" t="s">
        <v>631</v>
      </c>
      <c r="C20" s="110" t="s">
        <v>628</v>
      </c>
      <c r="D20" s="110">
        <v>4</v>
      </c>
      <c r="E20" s="64">
        <v>0.54652777777777795</v>
      </c>
      <c r="F20" s="64">
        <v>0.57459490740740737</v>
      </c>
      <c r="G20" s="64">
        <v>0.65833333333333333</v>
      </c>
      <c r="H20" s="66">
        <f t="shared" si="1"/>
        <v>2.8067129629629428E-2</v>
      </c>
      <c r="I20" s="66">
        <f t="shared" si="2"/>
        <v>6.6319444444441489E-3</v>
      </c>
      <c r="J20" s="66">
        <f t="shared" si="23"/>
        <v>0.11180555555555538</v>
      </c>
      <c r="K20" s="64">
        <v>0.13194444444444445</v>
      </c>
      <c r="L20" s="64">
        <v>0.31597222222222221</v>
      </c>
      <c r="M20" s="64">
        <v>0.34467592592592594</v>
      </c>
      <c r="N20" s="64">
        <v>0.45270833333333332</v>
      </c>
      <c r="O20" s="66">
        <f t="shared" si="4"/>
        <v>2.8703703703703731E-2</v>
      </c>
      <c r="P20" s="66">
        <f t="shared" si="5"/>
        <v>6.0300925925926285E-3</v>
      </c>
      <c r="Q20" s="66">
        <f t="shared" si="24"/>
        <v>0.13673611111111111</v>
      </c>
      <c r="R20" s="64">
        <v>0.15972222222222224</v>
      </c>
      <c r="S20" s="68">
        <v>4</v>
      </c>
      <c r="T20" s="68">
        <v>3</v>
      </c>
      <c r="U20" s="68">
        <v>1</v>
      </c>
      <c r="V20" s="68">
        <v>2</v>
      </c>
      <c r="W20" s="67">
        <f t="shared" si="15"/>
        <v>10.199999999999999</v>
      </c>
      <c r="X20" s="67">
        <f t="shared" si="16"/>
        <v>10.7</v>
      </c>
      <c r="Y20" s="67">
        <f t="shared" si="7"/>
        <v>5</v>
      </c>
      <c r="Z20" s="67">
        <f t="shared" si="8"/>
        <v>5</v>
      </c>
      <c r="AA20" s="68">
        <v>9.6999999999999993</v>
      </c>
      <c r="AB20" s="68">
        <v>8</v>
      </c>
      <c r="AC20" s="68">
        <v>4</v>
      </c>
      <c r="AD20" s="68">
        <v>4.7</v>
      </c>
      <c r="AE20" s="68">
        <v>2</v>
      </c>
      <c r="AF20" s="175">
        <f t="shared" si="9"/>
        <v>7</v>
      </c>
      <c r="AG20" s="68">
        <v>3.6</v>
      </c>
      <c r="AH20" s="68">
        <v>2</v>
      </c>
      <c r="AI20" s="68">
        <v>6</v>
      </c>
      <c r="AJ20" s="175">
        <f t="shared" si="10"/>
        <v>3</v>
      </c>
      <c r="AK20" s="68">
        <v>2.5</v>
      </c>
      <c r="AL20" s="68">
        <v>4.9000000000000004</v>
      </c>
      <c r="AM20" s="67">
        <f t="shared" si="0"/>
        <v>88.3</v>
      </c>
      <c r="AN20" s="111">
        <f t="shared" si="21"/>
        <v>4</v>
      </c>
      <c r="AP20" s="22">
        <f t="shared" si="22"/>
        <v>5</v>
      </c>
      <c r="AQ20" s="149">
        <v>14.45</v>
      </c>
      <c r="AR20" s="149">
        <v>9.3000000000000007</v>
      </c>
      <c r="AS20" s="149">
        <v>13.1</v>
      </c>
      <c r="AT20" s="149">
        <v>11.2</v>
      </c>
      <c r="AU20" s="149">
        <v>12.95</v>
      </c>
      <c r="AV20" s="180">
        <f t="shared" si="17"/>
        <v>12.2</v>
      </c>
      <c r="AW20" s="149">
        <v>14.5</v>
      </c>
      <c r="AX20" s="149">
        <v>9.3000000000000007</v>
      </c>
      <c r="AY20" s="149">
        <v>13.15</v>
      </c>
      <c r="AZ20" s="149">
        <v>11.25</v>
      </c>
      <c r="BA20" s="149"/>
      <c r="BB20" s="181">
        <f t="shared" si="20"/>
        <v>12.05</v>
      </c>
      <c r="BC20" s="160">
        <v>12</v>
      </c>
      <c r="BD20" s="185">
        <f t="shared" si="18"/>
        <v>0</v>
      </c>
      <c r="BE20" s="149">
        <v>12.85</v>
      </c>
      <c r="BF20" s="149">
        <v>9.0500000000000007</v>
      </c>
      <c r="BG20" s="149">
        <v>12.45</v>
      </c>
      <c r="BH20" s="149">
        <v>11.05</v>
      </c>
      <c r="BI20" s="149">
        <v>12.25</v>
      </c>
      <c r="BJ20" s="181">
        <f>AVERAGE(BE20:BI20)</f>
        <v>11.529999999999998</v>
      </c>
      <c r="BK20" s="149">
        <v>12.8</v>
      </c>
      <c r="BL20" s="149">
        <v>12.4</v>
      </c>
      <c r="BM20" s="149">
        <v>9.1999999999999993</v>
      </c>
      <c r="BN20" s="149">
        <v>11.2</v>
      </c>
      <c r="BO20" s="149">
        <v>12.6</v>
      </c>
      <c r="BP20" s="181">
        <f>AVERAGE(BK20:BO20)</f>
        <v>11.640000000000002</v>
      </c>
      <c r="BQ20" s="160">
        <v>11</v>
      </c>
      <c r="BR20" s="185">
        <f t="shared" si="19"/>
        <v>0</v>
      </c>
    </row>
    <row r="21" spans="1:70">
      <c r="A21" s="44" t="s">
        <v>102</v>
      </c>
      <c r="B21" s="44" t="s">
        <v>179</v>
      </c>
      <c r="C21" s="107" t="s">
        <v>277</v>
      </c>
      <c r="D21" s="107">
        <v>4</v>
      </c>
      <c r="E21" s="46">
        <v>0.54722222222222205</v>
      </c>
      <c r="F21" s="46">
        <v>0.60703703703703704</v>
      </c>
      <c r="G21" s="46">
        <v>0.70231481481481473</v>
      </c>
      <c r="H21" s="48">
        <f t="shared" si="1"/>
        <v>5.9814814814814987E-2</v>
      </c>
      <c r="I21" s="48">
        <f t="shared" ref="I21:I26" si="25">H21-MIN(H$21:H$26)</f>
        <v>2.1898148148148722E-2</v>
      </c>
      <c r="J21" s="48">
        <f t="shared" si="23"/>
        <v>0.15509259259259267</v>
      </c>
      <c r="K21" s="46">
        <v>0.14583333333333334</v>
      </c>
      <c r="L21" s="46">
        <v>0.28263888888888888</v>
      </c>
      <c r="M21" s="46">
        <v>0.32202546296296297</v>
      </c>
      <c r="N21" s="46">
        <v>0.45607638888888885</v>
      </c>
      <c r="O21" s="48">
        <f t="shared" si="4"/>
        <v>3.9386574074074088E-2</v>
      </c>
      <c r="P21" s="48">
        <f t="shared" ref="P21:P26" si="26">O21-MIN(O$21:O$26)</f>
        <v>1.3043981481481504E-2</v>
      </c>
      <c r="Q21" s="48">
        <f t="shared" ref="Q21:Q26" si="27">N21-L21</f>
        <v>0.17343749999999997</v>
      </c>
      <c r="R21" s="46">
        <v>0.16666666666666666</v>
      </c>
      <c r="S21" s="50">
        <v>0</v>
      </c>
      <c r="T21" s="50">
        <v>1.5</v>
      </c>
      <c r="U21" s="50">
        <v>1</v>
      </c>
      <c r="V21" s="50">
        <v>2.2000000000000002</v>
      </c>
      <c r="W21" s="49">
        <f t="shared" si="15"/>
        <v>0</v>
      </c>
      <c r="X21" s="49">
        <f t="shared" si="16"/>
        <v>5.6</v>
      </c>
      <c r="Y21" s="49">
        <f t="shared" si="7"/>
        <v>2.2999999999999998</v>
      </c>
      <c r="Z21" s="49">
        <f t="shared" si="8"/>
        <v>3.1</v>
      </c>
      <c r="AA21" s="50">
        <v>9.6</v>
      </c>
      <c r="AB21" s="50">
        <v>6.9</v>
      </c>
      <c r="AC21" s="50">
        <v>4</v>
      </c>
      <c r="AD21" s="50">
        <v>0.6</v>
      </c>
      <c r="AE21" s="50">
        <v>1</v>
      </c>
      <c r="AF21" s="176">
        <f t="shared" si="9"/>
        <v>1.5</v>
      </c>
      <c r="AG21" s="50">
        <v>1.2</v>
      </c>
      <c r="AH21" s="50">
        <v>1.2</v>
      </c>
      <c r="AI21" s="50">
        <v>6</v>
      </c>
      <c r="AJ21" s="176">
        <f t="shared" si="10"/>
        <v>3.2</v>
      </c>
      <c r="AK21" s="50">
        <v>3</v>
      </c>
      <c r="AL21" s="50">
        <v>4.9000000000000004</v>
      </c>
      <c r="AM21" s="49">
        <f t="shared" si="0"/>
        <v>54.100000000000009</v>
      </c>
      <c r="AN21" s="51">
        <f>RANK(AM21,$AM$21:$AM$23)</f>
        <v>3</v>
      </c>
      <c r="AP21" s="22">
        <f>RANK(I21,$I$21:$I$23,1)</f>
        <v>3</v>
      </c>
      <c r="AQ21" s="149">
        <v>12</v>
      </c>
      <c r="AR21" s="149">
        <v>12.5</v>
      </c>
      <c r="AS21" s="149">
        <v>12.55</v>
      </c>
      <c r="AT21" s="149">
        <v>12.7</v>
      </c>
      <c r="AU21" s="149"/>
      <c r="AV21" s="180">
        <f t="shared" si="17"/>
        <v>12.4375</v>
      </c>
      <c r="AW21" s="149">
        <v>12.4</v>
      </c>
      <c r="AX21" s="149">
        <v>12.45</v>
      </c>
      <c r="AY21" s="149">
        <v>12.35</v>
      </c>
      <c r="AZ21" s="149">
        <v>12.05</v>
      </c>
      <c r="BA21" s="81"/>
      <c r="BB21" s="181">
        <f t="shared" si="20"/>
        <v>12.3125</v>
      </c>
      <c r="BC21" s="160">
        <v>12</v>
      </c>
      <c r="BD21" s="185">
        <f t="shared" si="18"/>
        <v>0</v>
      </c>
      <c r="BE21" s="149">
        <v>11.75</v>
      </c>
      <c r="BF21" s="149">
        <v>11.95</v>
      </c>
      <c r="BG21" s="149">
        <v>11.7</v>
      </c>
      <c r="BH21" s="149">
        <v>11.85</v>
      </c>
      <c r="BI21" s="81"/>
      <c r="BJ21" s="181">
        <f t="shared" ref="BJ21:BJ26" si="28">AVERAGE(BE21:BH21)</f>
        <v>11.8125</v>
      </c>
      <c r="BK21" s="149">
        <v>12.4</v>
      </c>
      <c r="BL21" s="149">
        <v>12.2</v>
      </c>
      <c r="BM21" s="149">
        <v>11.2</v>
      </c>
      <c r="BN21" s="149">
        <v>12.2</v>
      </c>
      <c r="BO21" s="149"/>
      <c r="BP21" s="181">
        <f t="shared" si="14"/>
        <v>12</v>
      </c>
      <c r="BQ21" s="160">
        <v>11</v>
      </c>
      <c r="BR21" s="185">
        <f t="shared" si="19"/>
        <v>0</v>
      </c>
    </row>
    <row r="22" spans="1:70">
      <c r="A22" s="44" t="s">
        <v>102</v>
      </c>
      <c r="B22" s="14" t="s">
        <v>642</v>
      </c>
      <c r="C22" s="107" t="s">
        <v>278</v>
      </c>
      <c r="D22" s="107">
        <v>4</v>
      </c>
      <c r="E22" s="16">
        <v>0.54791666666666705</v>
      </c>
      <c r="F22" s="46">
        <v>0.58583333333333332</v>
      </c>
      <c r="G22" s="46">
        <v>0.67008101851851853</v>
      </c>
      <c r="H22" s="48">
        <f t="shared" si="1"/>
        <v>3.7916666666666266E-2</v>
      </c>
      <c r="I22" s="48">
        <f t="shared" si="25"/>
        <v>0</v>
      </c>
      <c r="J22" s="48">
        <f t="shared" si="23"/>
        <v>0.12216435185185148</v>
      </c>
      <c r="K22" s="46">
        <v>0.14583333333333334</v>
      </c>
      <c r="L22" s="46">
        <v>0.28125</v>
      </c>
      <c r="M22" s="46">
        <v>0.30759259259259258</v>
      </c>
      <c r="N22" s="46">
        <v>0.43144675925925924</v>
      </c>
      <c r="O22" s="48">
        <f t="shared" si="4"/>
        <v>2.6342592592592584E-2</v>
      </c>
      <c r="P22" s="48">
        <f t="shared" si="26"/>
        <v>0</v>
      </c>
      <c r="Q22" s="48">
        <f t="shared" si="27"/>
        <v>0.15019675925925924</v>
      </c>
      <c r="R22" s="46">
        <v>0.16666666666666666</v>
      </c>
      <c r="S22" s="50">
        <v>2</v>
      </c>
      <c r="T22" s="50">
        <v>3</v>
      </c>
      <c r="U22" s="50">
        <v>1</v>
      </c>
      <c r="V22" s="50">
        <v>2</v>
      </c>
      <c r="W22" s="49">
        <f t="shared" si="15"/>
        <v>15</v>
      </c>
      <c r="X22" s="49">
        <f t="shared" si="16"/>
        <v>15</v>
      </c>
      <c r="Y22" s="49">
        <f t="shared" si="7"/>
        <v>5</v>
      </c>
      <c r="Z22" s="49">
        <f t="shared" si="8"/>
        <v>5</v>
      </c>
      <c r="AA22" s="50">
        <v>10</v>
      </c>
      <c r="AB22" s="50">
        <v>7.8</v>
      </c>
      <c r="AC22" s="50">
        <v>4</v>
      </c>
      <c r="AD22" s="50">
        <v>1.2</v>
      </c>
      <c r="AE22" s="50">
        <v>1.6</v>
      </c>
      <c r="AF22" s="176">
        <f t="shared" si="9"/>
        <v>5</v>
      </c>
      <c r="AG22" s="50">
        <v>1.6</v>
      </c>
      <c r="AH22" s="50">
        <v>1.8</v>
      </c>
      <c r="AI22" s="50">
        <v>5.8</v>
      </c>
      <c r="AJ22" s="176">
        <f t="shared" si="10"/>
        <v>3</v>
      </c>
      <c r="AK22" s="50">
        <v>3</v>
      </c>
      <c r="AL22" s="50">
        <v>4.9000000000000004</v>
      </c>
      <c r="AM22" s="49">
        <f t="shared" si="0"/>
        <v>89.699999999999989</v>
      </c>
      <c r="AN22" s="51">
        <f>RANK(AM22,$AM$21:$AM$23)</f>
        <v>1</v>
      </c>
      <c r="AP22" s="22">
        <f>RANK(I22,$I$21:$I$23,1)</f>
        <v>1</v>
      </c>
      <c r="AQ22" s="149">
        <v>12.05</v>
      </c>
      <c r="AR22" s="149">
        <v>12.4</v>
      </c>
      <c r="AS22" s="149">
        <v>12.5</v>
      </c>
      <c r="AT22" s="149">
        <v>12.2</v>
      </c>
      <c r="AU22" s="149"/>
      <c r="AV22" s="180">
        <f t="shared" si="17"/>
        <v>12.287500000000001</v>
      </c>
      <c r="AW22" s="149">
        <v>14.9</v>
      </c>
      <c r="AX22" s="149">
        <v>9.4</v>
      </c>
      <c r="AY22" s="149">
        <v>10.7</v>
      </c>
      <c r="AZ22" s="149">
        <v>13.6</v>
      </c>
      <c r="BA22" s="81"/>
      <c r="BB22" s="181">
        <f t="shared" si="20"/>
        <v>12.15</v>
      </c>
      <c r="BC22" s="160">
        <v>12</v>
      </c>
      <c r="BD22" s="185">
        <f t="shared" si="18"/>
        <v>0</v>
      </c>
      <c r="BE22" s="149">
        <v>12.7</v>
      </c>
      <c r="BF22" s="149">
        <v>9.65</v>
      </c>
      <c r="BG22" s="149">
        <v>9.3000000000000007</v>
      </c>
      <c r="BH22" s="149">
        <v>12.7</v>
      </c>
      <c r="BI22" s="81"/>
      <c r="BJ22" s="181">
        <f t="shared" si="28"/>
        <v>11.0875</v>
      </c>
      <c r="BK22" s="149">
        <v>12.5</v>
      </c>
      <c r="BL22" s="149">
        <v>10.5</v>
      </c>
      <c r="BM22" s="149">
        <v>9</v>
      </c>
      <c r="BN22" s="149">
        <v>13</v>
      </c>
      <c r="BO22" s="149"/>
      <c r="BP22" s="181">
        <f t="shared" si="14"/>
        <v>11.25</v>
      </c>
      <c r="BQ22" s="160">
        <v>11</v>
      </c>
      <c r="BR22" s="185">
        <f t="shared" si="19"/>
        <v>0</v>
      </c>
    </row>
    <row r="23" spans="1:70" ht="14.25" thickBot="1">
      <c r="A23" s="62" t="s">
        <v>102</v>
      </c>
      <c r="B23" s="62" t="s">
        <v>632</v>
      </c>
      <c r="C23" s="110" t="s">
        <v>279</v>
      </c>
      <c r="D23" s="110">
        <v>4</v>
      </c>
      <c r="E23" s="64">
        <v>0.54861111111111105</v>
      </c>
      <c r="F23" s="64">
        <v>0.59273148148148147</v>
      </c>
      <c r="G23" s="64">
        <v>0.67841435185185184</v>
      </c>
      <c r="H23" s="66">
        <f t="shared" si="1"/>
        <v>4.4120370370370421E-2</v>
      </c>
      <c r="I23" s="66">
        <f t="shared" si="25"/>
        <v>6.2037037037041554E-3</v>
      </c>
      <c r="J23" s="66">
        <f t="shared" si="23"/>
        <v>0.12980324074074079</v>
      </c>
      <c r="K23" s="64">
        <v>0.14583333333333334</v>
      </c>
      <c r="L23" s="64">
        <v>0.28194444444444444</v>
      </c>
      <c r="M23" s="64">
        <v>0.31172453703703701</v>
      </c>
      <c r="N23" s="64">
        <v>0.44108796296296293</v>
      </c>
      <c r="O23" s="66">
        <f t="shared" si="4"/>
        <v>2.9780092592592566E-2</v>
      </c>
      <c r="P23" s="66">
        <f t="shared" si="26"/>
        <v>3.4374999999999822E-3</v>
      </c>
      <c r="Q23" s="66">
        <f t="shared" si="27"/>
        <v>0.15914351851851849</v>
      </c>
      <c r="R23" s="64">
        <v>0.16666666666666666</v>
      </c>
      <c r="S23" s="68">
        <v>1</v>
      </c>
      <c r="T23" s="68">
        <v>3</v>
      </c>
      <c r="U23" s="68">
        <v>1</v>
      </c>
      <c r="V23" s="68">
        <v>2</v>
      </c>
      <c r="W23" s="67">
        <f t="shared" si="15"/>
        <v>10.5</v>
      </c>
      <c r="X23" s="67">
        <f t="shared" si="16"/>
        <v>12.5</v>
      </c>
      <c r="Y23" s="67">
        <f t="shared" si="7"/>
        <v>5</v>
      </c>
      <c r="Z23" s="67">
        <f t="shared" si="8"/>
        <v>5</v>
      </c>
      <c r="AA23" s="68">
        <v>10</v>
      </c>
      <c r="AB23" s="68">
        <v>8</v>
      </c>
      <c r="AC23" s="68">
        <v>4</v>
      </c>
      <c r="AD23" s="68">
        <v>4.5</v>
      </c>
      <c r="AE23" s="68">
        <v>2</v>
      </c>
      <c r="AF23" s="175">
        <f t="shared" si="9"/>
        <v>4</v>
      </c>
      <c r="AG23" s="68">
        <v>2.8</v>
      </c>
      <c r="AH23" s="68">
        <v>1.4</v>
      </c>
      <c r="AI23" s="68">
        <v>6</v>
      </c>
      <c r="AJ23" s="175">
        <f t="shared" si="10"/>
        <v>3</v>
      </c>
      <c r="AK23" s="68">
        <v>3</v>
      </c>
      <c r="AL23" s="68">
        <v>4.9000000000000004</v>
      </c>
      <c r="AM23" s="67">
        <f t="shared" si="0"/>
        <v>86.600000000000009</v>
      </c>
      <c r="AN23" s="111">
        <f>RANK(AM23,$AM$21:$AM$23)</f>
        <v>2</v>
      </c>
      <c r="AP23" s="22">
        <f>RANK(I23,$I$21:$I$23,1)</f>
        <v>2</v>
      </c>
      <c r="AQ23" s="149">
        <v>13.05</v>
      </c>
      <c r="AR23" s="149">
        <v>12.45</v>
      </c>
      <c r="AS23" s="149">
        <v>12.6</v>
      </c>
      <c r="AT23" s="149">
        <v>12.4</v>
      </c>
      <c r="AU23" s="149"/>
      <c r="AV23" s="180">
        <f t="shared" si="17"/>
        <v>12.625</v>
      </c>
      <c r="AW23" s="149">
        <v>12.55</v>
      </c>
      <c r="AX23" s="149">
        <v>12.35</v>
      </c>
      <c r="AY23" s="149">
        <v>12.55</v>
      </c>
      <c r="AZ23" s="149">
        <v>12.45</v>
      </c>
      <c r="BA23" s="81"/>
      <c r="BB23" s="181">
        <f t="shared" si="20"/>
        <v>12.475000000000001</v>
      </c>
      <c r="BC23" s="160">
        <v>12</v>
      </c>
      <c r="BD23" s="185">
        <f t="shared" si="18"/>
        <v>0</v>
      </c>
      <c r="BE23" s="149">
        <v>11.75</v>
      </c>
      <c r="BF23" s="149">
        <v>11.9</v>
      </c>
      <c r="BG23" s="149">
        <v>12.1</v>
      </c>
      <c r="BH23" s="149">
        <v>12</v>
      </c>
      <c r="BI23" s="81"/>
      <c r="BJ23" s="181">
        <f t="shared" si="28"/>
        <v>11.9375</v>
      </c>
      <c r="BK23" s="149">
        <v>12</v>
      </c>
      <c r="BL23" s="149">
        <v>12</v>
      </c>
      <c r="BM23" s="149">
        <v>12</v>
      </c>
      <c r="BN23" s="149">
        <v>11.5</v>
      </c>
      <c r="BO23" s="149"/>
      <c r="BP23" s="181">
        <f t="shared" si="14"/>
        <v>11.875</v>
      </c>
      <c r="BQ23" s="160">
        <v>11</v>
      </c>
      <c r="BR23" s="185">
        <f t="shared" si="19"/>
        <v>0</v>
      </c>
    </row>
    <row r="24" spans="1:70">
      <c r="A24" s="44" t="s">
        <v>643</v>
      </c>
      <c r="B24" s="44" t="s">
        <v>642</v>
      </c>
      <c r="C24" s="107" t="s">
        <v>644</v>
      </c>
      <c r="D24" s="107">
        <v>4</v>
      </c>
      <c r="E24" s="46">
        <v>0.54930555555555505</v>
      </c>
      <c r="F24" s="46">
        <v>0.59915509259259259</v>
      </c>
      <c r="G24" s="46">
        <v>0.6928819444444444</v>
      </c>
      <c r="H24" s="48">
        <f>F24-E24</f>
        <v>4.9849537037037539E-2</v>
      </c>
      <c r="I24" s="48">
        <f t="shared" si="25"/>
        <v>1.1932870370371274E-2</v>
      </c>
      <c r="J24" s="48">
        <f>G24-E24</f>
        <v>0.14357638888888935</v>
      </c>
      <c r="K24" s="46">
        <v>0.14583333333333334</v>
      </c>
      <c r="L24" s="46">
        <v>0.28472222222222221</v>
      </c>
      <c r="M24" s="46">
        <v>0.31958333333333333</v>
      </c>
      <c r="N24" s="46">
        <v>0.4292361111111111</v>
      </c>
      <c r="O24" s="48">
        <f>M24-L24</f>
        <v>3.486111111111112E-2</v>
      </c>
      <c r="P24" s="48">
        <f t="shared" si="26"/>
        <v>8.5185185185185364E-3</v>
      </c>
      <c r="Q24" s="48">
        <f t="shared" si="27"/>
        <v>0.14451388888888889</v>
      </c>
      <c r="R24" s="46">
        <v>0.16666666666666666</v>
      </c>
      <c r="S24" s="50">
        <v>0</v>
      </c>
      <c r="T24" s="50">
        <v>0</v>
      </c>
      <c r="U24" s="50">
        <v>0</v>
      </c>
      <c r="V24" s="50">
        <v>0</v>
      </c>
      <c r="W24" s="49">
        <f t="shared" si="15"/>
        <v>6.4</v>
      </c>
      <c r="X24" s="49">
        <f t="shared" si="16"/>
        <v>8.9</v>
      </c>
      <c r="Y24" s="49">
        <f t="shared" si="7"/>
        <v>5</v>
      </c>
      <c r="Z24" s="49">
        <f t="shared" si="8"/>
        <v>5</v>
      </c>
      <c r="AA24" s="50">
        <v>7</v>
      </c>
      <c r="AB24" s="50">
        <v>5.2</v>
      </c>
      <c r="AC24" s="50">
        <v>3.6</v>
      </c>
      <c r="AD24" s="50">
        <v>0.5</v>
      </c>
      <c r="AE24" s="50">
        <v>1.8</v>
      </c>
      <c r="AF24" s="176">
        <f t="shared" si="9"/>
        <v>0</v>
      </c>
      <c r="AG24" s="50">
        <v>0.4</v>
      </c>
      <c r="AH24" s="50">
        <v>1.6</v>
      </c>
      <c r="AI24" s="50">
        <v>5.3</v>
      </c>
      <c r="AJ24" s="176">
        <f t="shared" si="10"/>
        <v>0</v>
      </c>
      <c r="AK24" s="50">
        <v>3</v>
      </c>
      <c r="AL24" s="50">
        <v>4.2</v>
      </c>
      <c r="AM24" s="49">
        <f t="shared" si="0"/>
        <v>57.9</v>
      </c>
      <c r="AN24" s="51">
        <f>RANK(AM24,$AM$24:$AM$26)</f>
        <v>3</v>
      </c>
      <c r="AP24" s="22">
        <f>RANK(I24,$I$24:$I$26,1)</f>
        <v>3</v>
      </c>
      <c r="AQ24" s="149">
        <v>12.75</v>
      </c>
      <c r="AR24" s="149">
        <v>12.7</v>
      </c>
      <c r="AS24" s="149">
        <v>12.4</v>
      </c>
      <c r="AT24" s="149">
        <v>12.2</v>
      </c>
      <c r="AU24" s="149"/>
      <c r="AV24" s="180">
        <f>AVERAGE(AQ24:AU24)</f>
        <v>12.512499999999999</v>
      </c>
      <c r="AW24" s="149">
        <v>11.85</v>
      </c>
      <c r="AX24" s="149">
        <v>12.35</v>
      </c>
      <c r="AY24" s="149">
        <v>12</v>
      </c>
      <c r="AZ24" s="149">
        <v>12.35</v>
      </c>
      <c r="BA24" s="81"/>
      <c r="BB24" s="181">
        <f t="shared" si="20"/>
        <v>12.137500000000001</v>
      </c>
      <c r="BC24" s="160">
        <v>12</v>
      </c>
      <c r="BD24" s="185">
        <f t="shared" si="18"/>
        <v>0</v>
      </c>
      <c r="BE24" s="149">
        <v>12.65</v>
      </c>
      <c r="BF24" s="149">
        <v>11.25</v>
      </c>
      <c r="BG24" s="149">
        <v>9.6999999999999993</v>
      </c>
      <c r="BH24" s="149">
        <v>11.55</v>
      </c>
      <c r="BI24" s="81"/>
      <c r="BJ24" s="181">
        <f t="shared" si="28"/>
        <v>11.287499999999998</v>
      </c>
      <c r="BK24" s="149">
        <v>10.199999999999999</v>
      </c>
      <c r="BL24" s="149">
        <v>11.5</v>
      </c>
      <c r="BM24" s="149">
        <v>12</v>
      </c>
      <c r="BN24" s="149">
        <v>10.8</v>
      </c>
      <c r="BO24" s="149"/>
      <c r="BP24" s="181">
        <f>AVERAGE(BK24:BN24)</f>
        <v>11.125</v>
      </c>
      <c r="BQ24" s="160">
        <v>11</v>
      </c>
      <c r="BR24" s="185">
        <f t="shared" si="19"/>
        <v>0</v>
      </c>
    </row>
    <row r="25" spans="1:70">
      <c r="A25" s="14" t="s">
        <v>643</v>
      </c>
      <c r="B25" s="14" t="s">
        <v>632</v>
      </c>
      <c r="C25" s="101" t="s">
        <v>645</v>
      </c>
      <c r="D25" s="101">
        <v>4</v>
      </c>
      <c r="E25" s="46">
        <v>0.55000000000000004</v>
      </c>
      <c r="F25" s="16">
        <v>0.5988310185185185</v>
      </c>
      <c r="G25" s="16">
        <v>0.68518518518518512</v>
      </c>
      <c r="H25" s="18">
        <f t="shared" si="1"/>
        <v>4.8831018518518454E-2</v>
      </c>
      <c r="I25" s="18">
        <f t="shared" si="25"/>
        <v>1.0914351851852189E-2</v>
      </c>
      <c r="J25" s="18">
        <f t="shared" si="23"/>
        <v>0.13518518518518507</v>
      </c>
      <c r="K25" s="16">
        <v>0.14583333333333334</v>
      </c>
      <c r="L25" s="16">
        <v>0.28402777777777777</v>
      </c>
      <c r="M25" s="16">
        <v>0.31993055555555555</v>
      </c>
      <c r="N25" s="16">
        <v>0.44305555555555554</v>
      </c>
      <c r="O25" s="18">
        <f t="shared" si="4"/>
        <v>3.5902777777777783E-2</v>
      </c>
      <c r="P25" s="18">
        <f t="shared" si="26"/>
        <v>9.5601851851851993E-3</v>
      </c>
      <c r="Q25" s="18">
        <f t="shared" si="27"/>
        <v>0.15902777777777777</v>
      </c>
      <c r="R25" s="16">
        <v>0.16666666666666666</v>
      </c>
      <c r="S25" s="37">
        <v>0.5</v>
      </c>
      <c r="T25" s="37">
        <v>0</v>
      </c>
      <c r="U25" s="37">
        <v>1</v>
      </c>
      <c r="V25" s="37">
        <v>1.7</v>
      </c>
      <c r="W25" s="19">
        <f t="shared" si="15"/>
        <v>7.1</v>
      </c>
      <c r="X25" s="19">
        <f t="shared" si="16"/>
        <v>8.1</v>
      </c>
      <c r="Y25" s="19">
        <f t="shared" si="7"/>
        <v>5</v>
      </c>
      <c r="Z25" s="19">
        <f t="shared" si="8"/>
        <v>5</v>
      </c>
      <c r="AA25" s="37">
        <v>9</v>
      </c>
      <c r="AB25" s="37">
        <v>7</v>
      </c>
      <c r="AC25" s="37">
        <v>3.6</v>
      </c>
      <c r="AD25" s="37">
        <v>0.4</v>
      </c>
      <c r="AE25" s="37">
        <v>1.8</v>
      </c>
      <c r="AF25" s="174">
        <f t="shared" si="9"/>
        <v>0.5</v>
      </c>
      <c r="AG25" s="37">
        <v>2</v>
      </c>
      <c r="AH25" s="37">
        <v>1.6</v>
      </c>
      <c r="AI25" s="37">
        <v>6</v>
      </c>
      <c r="AJ25" s="174">
        <f t="shared" si="10"/>
        <v>2.7</v>
      </c>
      <c r="AK25" s="37">
        <v>3</v>
      </c>
      <c r="AL25" s="37">
        <v>4.9000000000000004</v>
      </c>
      <c r="AM25" s="19">
        <f t="shared" si="0"/>
        <v>67.7</v>
      </c>
      <c r="AN25" s="51">
        <f>RANK(AM25,$AM$24:$AM$26)</f>
        <v>2</v>
      </c>
      <c r="AP25" s="22">
        <f>RANK(I25,$I$24:$I$26,1)</f>
        <v>2</v>
      </c>
      <c r="AQ25" s="149">
        <v>14.35</v>
      </c>
      <c r="AR25" s="149">
        <v>13.8</v>
      </c>
      <c r="AS25" s="149">
        <v>12.65</v>
      </c>
      <c r="AT25" s="149">
        <v>13.55</v>
      </c>
      <c r="AU25" s="149"/>
      <c r="AV25" s="180">
        <f t="shared" si="17"/>
        <v>13.587499999999999</v>
      </c>
      <c r="AW25" s="149">
        <v>14.1</v>
      </c>
      <c r="AX25" s="149">
        <v>13.6</v>
      </c>
      <c r="AY25" s="149">
        <v>12.6</v>
      </c>
      <c r="AZ25" s="149">
        <v>13.45</v>
      </c>
      <c r="BA25" s="81"/>
      <c r="BB25" s="181">
        <f t="shared" si="20"/>
        <v>13.4375</v>
      </c>
      <c r="BC25" s="160">
        <v>12</v>
      </c>
      <c r="BD25" s="185">
        <f t="shared" si="18"/>
        <v>0</v>
      </c>
      <c r="BE25" s="149">
        <v>12.05</v>
      </c>
      <c r="BF25" s="149">
        <v>11.65</v>
      </c>
      <c r="BG25" s="149">
        <v>11.4</v>
      </c>
      <c r="BH25" s="149">
        <v>13.4</v>
      </c>
      <c r="BI25" s="81"/>
      <c r="BJ25" s="181">
        <f t="shared" si="28"/>
        <v>12.125</v>
      </c>
      <c r="BK25" s="149">
        <v>12</v>
      </c>
      <c r="BL25" s="149">
        <v>14</v>
      </c>
      <c r="BM25" s="149">
        <v>11.6</v>
      </c>
      <c r="BN25" s="149">
        <v>12.2</v>
      </c>
      <c r="BO25" s="149"/>
      <c r="BP25" s="181">
        <f t="shared" si="14"/>
        <v>12.45</v>
      </c>
      <c r="BQ25" s="160">
        <v>11</v>
      </c>
      <c r="BR25" s="185">
        <f t="shared" si="19"/>
        <v>0</v>
      </c>
    </row>
    <row r="26" spans="1:70" ht="14.25" thickBot="1">
      <c r="A26" s="138" t="s">
        <v>643</v>
      </c>
      <c r="B26" s="138" t="s">
        <v>122</v>
      </c>
      <c r="C26" s="139" t="s">
        <v>646</v>
      </c>
      <c r="D26" s="139">
        <v>3</v>
      </c>
      <c r="E26" s="64">
        <v>0.55069444444444404</v>
      </c>
      <c r="F26" s="164">
        <v>0.59554398148148147</v>
      </c>
      <c r="G26" s="164">
        <v>0.68611111111111101</v>
      </c>
      <c r="H26" s="165">
        <f t="shared" si="1"/>
        <v>4.4849537037037424E-2</v>
      </c>
      <c r="I26" s="165">
        <f t="shared" si="25"/>
        <v>6.9328703703711581E-3</v>
      </c>
      <c r="J26" s="165">
        <f t="shared" si="23"/>
        <v>0.13541666666666696</v>
      </c>
      <c r="K26" s="164">
        <v>0.14583333333333334</v>
      </c>
      <c r="L26" s="164">
        <v>0.28333333333333333</v>
      </c>
      <c r="M26" s="164">
        <v>0.31394675925925924</v>
      </c>
      <c r="N26" s="164">
        <v>0.45306712962962964</v>
      </c>
      <c r="O26" s="165">
        <f t="shared" si="4"/>
        <v>3.0613425925925919E-2</v>
      </c>
      <c r="P26" s="165">
        <f t="shared" si="26"/>
        <v>4.2708333333333348E-3</v>
      </c>
      <c r="Q26" s="165">
        <f t="shared" si="27"/>
        <v>0.16973379629629631</v>
      </c>
      <c r="R26" s="164">
        <v>0.16666666666666666</v>
      </c>
      <c r="S26" s="167">
        <v>1</v>
      </c>
      <c r="T26" s="167">
        <v>1</v>
      </c>
      <c r="U26" s="167">
        <v>1</v>
      </c>
      <c r="V26" s="167">
        <v>2.5</v>
      </c>
      <c r="W26" s="166">
        <f t="shared" si="15"/>
        <v>10</v>
      </c>
      <c r="X26" s="166">
        <f t="shared" si="16"/>
        <v>11.9</v>
      </c>
      <c r="Y26" s="166">
        <f t="shared" si="7"/>
        <v>5</v>
      </c>
      <c r="Z26" s="166">
        <f t="shared" si="8"/>
        <v>4.0999999999999996</v>
      </c>
      <c r="AA26" s="167">
        <v>10</v>
      </c>
      <c r="AB26" s="167">
        <v>8</v>
      </c>
      <c r="AC26" s="167">
        <v>4</v>
      </c>
      <c r="AD26" s="167">
        <v>2.5</v>
      </c>
      <c r="AE26" s="167">
        <v>2</v>
      </c>
      <c r="AF26" s="177">
        <f t="shared" si="9"/>
        <v>2</v>
      </c>
      <c r="AG26" s="167">
        <v>3.8</v>
      </c>
      <c r="AH26" s="167">
        <v>1.6</v>
      </c>
      <c r="AI26" s="167">
        <v>6</v>
      </c>
      <c r="AJ26" s="177">
        <f t="shared" si="10"/>
        <v>3.5</v>
      </c>
      <c r="AK26" s="167">
        <v>3</v>
      </c>
      <c r="AL26" s="167">
        <v>4.9000000000000004</v>
      </c>
      <c r="AM26" s="166">
        <f t="shared" si="0"/>
        <v>82.3</v>
      </c>
      <c r="AN26" s="111">
        <f>RANK(AM26,$AM$24:$AM$26)</f>
        <v>1</v>
      </c>
      <c r="AP26" s="22">
        <f>RANK(I26,$I$24:$I$26,1)</f>
        <v>1</v>
      </c>
      <c r="AQ26" s="149">
        <v>12.8</v>
      </c>
      <c r="AR26" s="149">
        <v>13</v>
      </c>
      <c r="AS26" s="149">
        <v>15.6</v>
      </c>
      <c r="AT26" s="149"/>
      <c r="AU26" s="149"/>
      <c r="AV26" s="180">
        <f t="shared" si="17"/>
        <v>13.799999999999999</v>
      </c>
      <c r="AW26" s="149">
        <v>15.45</v>
      </c>
      <c r="AX26" s="149">
        <v>12.6</v>
      </c>
      <c r="AY26" s="149">
        <v>12.6</v>
      </c>
      <c r="AZ26" s="149"/>
      <c r="BA26" s="81"/>
      <c r="BB26" s="181">
        <f t="shared" si="20"/>
        <v>13.549999999999999</v>
      </c>
      <c r="BC26" s="160">
        <v>12</v>
      </c>
      <c r="BD26" s="185">
        <f t="shared" si="18"/>
        <v>0</v>
      </c>
      <c r="BE26" s="149">
        <v>14.05</v>
      </c>
      <c r="BF26" s="149">
        <v>10.5</v>
      </c>
      <c r="BG26" s="149">
        <v>11.5</v>
      </c>
      <c r="BH26" s="149"/>
      <c r="BI26" s="81"/>
      <c r="BJ26" s="181">
        <f t="shared" si="28"/>
        <v>12.016666666666666</v>
      </c>
      <c r="BK26" s="149">
        <v>14</v>
      </c>
      <c r="BL26" s="149">
        <v>10.5</v>
      </c>
      <c r="BM26" s="149">
        <v>11.5</v>
      </c>
      <c r="BN26" s="149"/>
      <c r="BO26" s="149"/>
      <c r="BP26" s="181">
        <f t="shared" si="14"/>
        <v>12</v>
      </c>
      <c r="BQ26" s="160">
        <v>11</v>
      </c>
      <c r="BR26" s="185">
        <f t="shared" si="19"/>
        <v>0</v>
      </c>
    </row>
    <row r="27" spans="1:70">
      <c r="A27" s="44" t="s">
        <v>103</v>
      </c>
      <c r="B27" s="44" t="s">
        <v>611</v>
      </c>
      <c r="C27" s="107"/>
      <c r="D27" s="107">
        <v>3</v>
      </c>
      <c r="E27" s="46"/>
      <c r="F27" s="46"/>
      <c r="G27" s="46"/>
      <c r="H27" s="48"/>
      <c r="I27" s="48"/>
      <c r="J27" s="48"/>
      <c r="K27" s="46"/>
      <c r="L27" s="46"/>
      <c r="M27" s="46"/>
      <c r="N27" s="46"/>
      <c r="O27" s="48"/>
      <c r="P27" s="48"/>
      <c r="Q27" s="48"/>
      <c r="R27" s="46"/>
      <c r="S27" s="50"/>
      <c r="T27" s="50"/>
      <c r="U27" s="50"/>
      <c r="V27" s="50"/>
      <c r="W27" s="49"/>
      <c r="X27" s="49"/>
      <c r="Y27" s="49"/>
      <c r="Z27" s="49"/>
      <c r="AA27" s="50"/>
      <c r="AB27" s="50"/>
      <c r="AC27" s="50"/>
      <c r="AD27" s="50"/>
      <c r="AE27" s="50"/>
      <c r="AF27" s="176"/>
      <c r="AG27" s="50"/>
      <c r="AH27" s="50"/>
      <c r="AI27" s="50"/>
      <c r="AJ27" s="176"/>
      <c r="AK27" s="50"/>
      <c r="AL27" s="50"/>
      <c r="AM27" s="49"/>
      <c r="AN27" s="51"/>
      <c r="AQ27" s="81"/>
      <c r="AR27" s="81"/>
      <c r="AS27" s="81"/>
      <c r="AT27" s="81"/>
      <c r="AU27" s="81"/>
      <c r="AV27" s="181"/>
      <c r="AW27" s="81"/>
      <c r="AX27" s="81"/>
      <c r="AY27" s="81"/>
      <c r="AZ27" s="81"/>
      <c r="BA27" s="81"/>
      <c r="BB27" s="181"/>
      <c r="BC27" s="81"/>
      <c r="BD27" s="186"/>
      <c r="BE27" s="81"/>
      <c r="BF27" s="81"/>
      <c r="BG27" s="81"/>
      <c r="BH27" s="81"/>
      <c r="BI27" s="81"/>
      <c r="BJ27" s="181"/>
      <c r="BK27" s="81"/>
      <c r="BL27" s="81"/>
      <c r="BM27" s="81"/>
      <c r="BN27" s="81"/>
      <c r="BO27" s="81"/>
      <c r="BP27" s="181"/>
      <c r="BQ27" s="81"/>
      <c r="BR27" s="186"/>
    </row>
    <row r="28" spans="1:70">
      <c r="A28" s="14" t="s">
        <v>103</v>
      </c>
      <c r="B28" s="14" t="s">
        <v>122</v>
      </c>
      <c r="C28" s="130"/>
      <c r="D28" s="101">
        <v>3</v>
      </c>
      <c r="E28" s="16"/>
      <c r="F28" s="16"/>
      <c r="G28" s="16"/>
      <c r="H28" s="18"/>
      <c r="I28" s="18"/>
      <c r="J28" s="18"/>
      <c r="K28" s="16"/>
      <c r="L28" s="16"/>
      <c r="M28" s="16"/>
      <c r="N28" s="16"/>
      <c r="O28" s="18"/>
      <c r="P28" s="18"/>
      <c r="Q28" s="18"/>
      <c r="R28" s="16"/>
      <c r="S28" s="37"/>
      <c r="T28" s="37"/>
      <c r="U28" s="37"/>
      <c r="V28" s="37"/>
      <c r="W28" s="19"/>
      <c r="X28" s="19"/>
      <c r="Y28" s="19"/>
      <c r="Z28" s="19"/>
      <c r="AA28" s="37"/>
      <c r="AB28" s="37"/>
      <c r="AC28" s="37"/>
      <c r="AD28" s="37"/>
      <c r="AE28" s="37"/>
      <c r="AF28" s="174"/>
      <c r="AG28" s="37"/>
      <c r="AH28" s="37"/>
      <c r="AI28" s="37"/>
      <c r="AJ28" s="174"/>
      <c r="AK28" s="37"/>
      <c r="AL28" s="37"/>
      <c r="AM28" s="19"/>
      <c r="AN28" s="33"/>
      <c r="AV28" s="182"/>
      <c r="BB28" s="182"/>
      <c r="BD28" s="182"/>
      <c r="BJ28" s="181"/>
      <c r="BP28" s="182"/>
      <c r="BR28" s="182"/>
    </row>
    <row r="29" spans="1:70">
      <c r="A29" s="14" t="s">
        <v>103</v>
      </c>
      <c r="B29" s="14" t="s">
        <v>592</v>
      </c>
      <c r="C29" s="101"/>
      <c r="D29" s="101">
        <v>0</v>
      </c>
      <c r="E29" s="16"/>
      <c r="F29" s="16"/>
      <c r="G29" s="16"/>
      <c r="H29" s="18"/>
      <c r="I29" s="18"/>
      <c r="J29" s="18"/>
      <c r="K29" s="16"/>
      <c r="L29" s="16"/>
      <c r="M29" s="16"/>
      <c r="N29" s="16"/>
      <c r="O29" s="18"/>
      <c r="P29" s="18"/>
      <c r="Q29" s="18"/>
      <c r="R29" s="16"/>
      <c r="S29" s="37"/>
      <c r="T29" s="37"/>
      <c r="U29" s="37"/>
      <c r="V29" s="37"/>
      <c r="W29" s="19"/>
      <c r="X29" s="19"/>
      <c r="Y29" s="19"/>
      <c r="Z29" s="19"/>
      <c r="AA29" s="37"/>
      <c r="AB29" s="37"/>
      <c r="AC29" s="37"/>
      <c r="AD29" s="37"/>
      <c r="AE29" s="37"/>
      <c r="AF29" s="174"/>
      <c r="AG29" s="37"/>
      <c r="AH29" s="37"/>
      <c r="AI29" s="37"/>
      <c r="AJ29" s="174"/>
      <c r="AK29" s="37"/>
      <c r="AL29" s="37"/>
      <c r="AM29" s="19"/>
      <c r="AN29" s="33"/>
      <c r="AV29" s="182"/>
      <c r="BB29" s="182"/>
      <c r="BD29" s="182"/>
      <c r="BJ29" s="181"/>
      <c r="BP29" s="182"/>
      <c r="BR29" s="182"/>
    </row>
    <row r="30" spans="1:70">
      <c r="A30" s="14" t="s">
        <v>103</v>
      </c>
      <c r="B30" s="14" t="s">
        <v>69</v>
      </c>
      <c r="C30" s="101"/>
      <c r="D30" s="101">
        <v>2</v>
      </c>
      <c r="E30" s="16"/>
      <c r="F30" s="16"/>
      <c r="G30" s="16"/>
      <c r="H30" s="18"/>
      <c r="I30" s="18"/>
      <c r="J30" s="18"/>
      <c r="K30" s="16"/>
      <c r="L30" s="16"/>
      <c r="M30" s="16"/>
      <c r="N30" s="16"/>
      <c r="O30" s="18"/>
      <c r="P30" s="18"/>
      <c r="Q30" s="18"/>
      <c r="R30" s="16"/>
      <c r="S30" s="37"/>
      <c r="T30" s="37"/>
      <c r="U30" s="37"/>
      <c r="V30" s="37"/>
      <c r="W30" s="19"/>
      <c r="X30" s="19"/>
      <c r="Y30" s="19"/>
      <c r="Z30" s="19"/>
      <c r="AA30" s="37"/>
      <c r="AB30" s="37"/>
      <c r="AC30" s="37"/>
      <c r="AD30" s="37"/>
      <c r="AE30" s="37"/>
      <c r="AF30" s="174"/>
      <c r="AG30" s="37"/>
      <c r="AH30" s="37"/>
      <c r="AI30" s="37"/>
      <c r="AJ30" s="174"/>
      <c r="AK30" s="37"/>
      <c r="AL30" s="37"/>
      <c r="AM30" s="19"/>
      <c r="AN30" s="33"/>
      <c r="AV30" s="182"/>
      <c r="BB30" s="182"/>
      <c r="BD30" s="182"/>
      <c r="BJ30" s="181"/>
      <c r="BP30" s="182"/>
      <c r="BR30" s="182"/>
    </row>
    <row r="31" spans="1:70">
      <c r="A31" s="14" t="s">
        <v>103</v>
      </c>
      <c r="B31" s="14" t="s">
        <v>29</v>
      </c>
      <c r="C31" s="101"/>
      <c r="D31" s="101">
        <v>2</v>
      </c>
      <c r="E31" s="16"/>
      <c r="F31" s="16"/>
      <c r="G31" s="16"/>
      <c r="H31" s="18"/>
      <c r="I31" s="18"/>
      <c r="J31" s="18"/>
      <c r="K31" s="16"/>
      <c r="L31" s="16"/>
      <c r="M31" s="16"/>
      <c r="N31" s="16"/>
      <c r="O31" s="18"/>
      <c r="P31" s="18"/>
      <c r="Q31" s="18"/>
      <c r="R31" s="16"/>
      <c r="S31" s="37"/>
      <c r="T31" s="37"/>
      <c r="U31" s="37"/>
      <c r="V31" s="37"/>
      <c r="W31" s="19"/>
      <c r="X31" s="19"/>
      <c r="Y31" s="19"/>
      <c r="Z31" s="19"/>
      <c r="AA31" s="37"/>
      <c r="AB31" s="37"/>
      <c r="AC31" s="37"/>
      <c r="AD31" s="37"/>
      <c r="AE31" s="37"/>
      <c r="AF31" s="174"/>
      <c r="AG31" s="37"/>
      <c r="AH31" s="37"/>
      <c r="AI31" s="37"/>
      <c r="AJ31" s="174"/>
      <c r="AK31" s="37"/>
      <c r="AL31" s="37"/>
      <c r="AM31" s="19"/>
      <c r="AN31" s="33"/>
      <c r="AV31" s="182"/>
      <c r="BB31" s="182"/>
      <c r="BD31" s="182"/>
      <c r="BJ31" s="182"/>
      <c r="BP31" s="182"/>
      <c r="BR31" s="182"/>
    </row>
    <row r="32" spans="1:70">
      <c r="A32" s="14" t="s">
        <v>103</v>
      </c>
      <c r="B32" s="14" t="s">
        <v>234</v>
      </c>
      <c r="C32" s="101"/>
      <c r="D32" s="101">
        <v>1</v>
      </c>
      <c r="E32" s="16"/>
      <c r="F32" s="16"/>
      <c r="G32" s="16"/>
      <c r="H32" s="18"/>
      <c r="I32" s="18"/>
      <c r="J32" s="18"/>
      <c r="K32" s="16"/>
      <c r="L32" s="16"/>
      <c r="M32" s="16"/>
      <c r="N32" s="16"/>
      <c r="O32" s="18"/>
      <c r="P32" s="18"/>
      <c r="Q32" s="18"/>
      <c r="R32" s="16"/>
      <c r="S32" s="37"/>
      <c r="T32" s="37"/>
      <c r="U32" s="37"/>
      <c r="V32" s="37"/>
      <c r="W32" s="19"/>
      <c r="X32" s="19"/>
      <c r="Y32" s="19"/>
      <c r="Z32" s="19"/>
      <c r="AA32" s="37"/>
      <c r="AB32" s="37"/>
      <c r="AC32" s="37"/>
      <c r="AD32" s="37"/>
      <c r="AE32" s="37"/>
      <c r="AF32" s="174"/>
      <c r="AG32" s="37"/>
      <c r="AH32" s="37"/>
      <c r="AI32" s="37"/>
      <c r="AJ32" s="174"/>
      <c r="AK32" s="37"/>
      <c r="AL32" s="37"/>
      <c r="AM32" s="19"/>
      <c r="AN32" s="33"/>
      <c r="AV32" s="182"/>
      <c r="BB32" s="182"/>
      <c r="BD32" s="182"/>
      <c r="BJ32" s="182"/>
      <c r="BP32" s="182"/>
      <c r="BR32" s="182"/>
    </row>
    <row r="33" spans="1:70">
      <c r="A33" s="14" t="s">
        <v>103</v>
      </c>
      <c r="B33" s="14" t="s">
        <v>182</v>
      </c>
      <c r="C33" s="101"/>
      <c r="D33" s="101">
        <v>4</v>
      </c>
      <c r="E33" s="16"/>
      <c r="F33" s="16"/>
      <c r="G33" s="16"/>
      <c r="H33" s="18"/>
      <c r="I33" s="18"/>
      <c r="J33" s="18"/>
      <c r="K33" s="16"/>
      <c r="L33" s="16"/>
      <c r="M33" s="16"/>
      <c r="N33" s="16"/>
      <c r="O33" s="18"/>
      <c r="P33" s="18"/>
      <c r="Q33" s="18"/>
      <c r="R33" s="16"/>
      <c r="S33" s="37"/>
      <c r="T33" s="37"/>
      <c r="U33" s="37"/>
      <c r="V33" s="37"/>
      <c r="W33" s="19"/>
      <c r="X33" s="19"/>
      <c r="Y33" s="19"/>
      <c r="Z33" s="19"/>
      <c r="AA33" s="37"/>
      <c r="AB33" s="37"/>
      <c r="AC33" s="37"/>
      <c r="AD33" s="37"/>
      <c r="AE33" s="37"/>
      <c r="AF33" s="174"/>
      <c r="AG33" s="37"/>
      <c r="AH33" s="37"/>
      <c r="AI33" s="37"/>
      <c r="AJ33" s="174"/>
      <c r="AK33" s="37"/>
      <c r="AL33" s="37"/>
      <c r="AM33" s="19"/>
      <c r="AN33" s="33"/>
      <c r="AV33" s="182"/>
      <c r="BB33" s="182"/>
      <c r="BD33" s="182"/>
      <c r="BJ33" s="182"/>
      <c r="BP33" s="182"/>
      <c r="BR33" s="182"/>
    </row>
    <row r="34" spans="1:70">
      <c r="A34" s="14" t="s">
        <v>104</v>
      </c>
      <c r="B34" s="14" t="s">
        <v>611</v>
      </c>
      <c r="C34" s="101"/>
      <c r="D34" s="101">
        <v>1</v>
      </c>
      <c r="E34" s="16"/>
      <c r="F34" s="16"/>
      <c r="G34" s="16"/>
      <c r="H34" s="18"/>
      <c r="I34" s="18"/>
      <c r="J34" s="18"/>
      <c r="K34" s="16"/>
      <c r="L34" s="16"/>
      <c r="M34" s="16"/>
      <c r="N34" s="16"/>
      <c r="O34" s="18"/>
      <c r="P34" s="18"/>
      <c r="Q34" s="18"/>
      <c r="R34" s="16"/>
      <c r="S34" s="37"/>
      <c r="T34" s="37"/>
      <c r="U34" s="37"/>
      <c r="V34" s="37"/>
      <c r="W34" s="19"/>
      <c r="X34" s="19"/>
      <c r="Y34" s="19"/>
      <c r="Z34" s="19"/>
      <c r="AA34" s="37"/>
      <c r="AB34" s="37"/>
      <c r="AC34" s="37"/>
      <c r="AD34" s="37"/>
      <c r="AE34" s="37"/>
      <c r="AF34" s="174"/>
      <c r="AG34" s="37"/>
      <c r="AH34" s="37"/>
      <c r="AI34" s="37"/>
      <c r="AJ34" s="174"/>
      <c r="AK34" s="37"/>
      <c r="AL34" s="37"/>
      <c r="AM34" s="19"/>
      <c r="AN34" s="33"/>
      <c r="AV34" s="182"/>
      <c r="BB34" s="182"/>
      <c r="BD34" s="182"/>
      <c r="BJ34" s="182"/>
      <c r="BP34" s="182"/>
      <c r="BR34" s="182"/>
    </row>
    <row r="35" spans="1:70">
      <c r="A35" s="14" t="s">
        <v>104</v>
      </c>
      <c r="B35" s="14" t="s">
        <v>647</v>
      </c>
      <c r="C35" s="101"/>
      <c r="D35" s="101">
        <v>4</v>
      </c>
      <c r="E35" s="16"/>
      <c r="F35" s="16"/>
      <c r="G35" s="16"/>
      <c r="H35" s="18"/>
      <c r="I35" s="18"/>
      <c r="J35" s="18"/>
      <c r="K35" s="16"/>
      <c r="L35" s="16"/>
      <c r="M35" s="16"/>
      <c r="N35" s="16"/>
      <c r="O35" s="18"/>
      <c r="P35" s="18"/>
      <c r="Q35" s="18"/>
      <c r="R35" s="16"/>
      <c r="S35" s="37"/>
      <c r="T35" s="37"/>
      <c r="U35" s="37"/>
      <c r="V35" s="37"/>
      <c r="W35" s="19"/>
      <c r="X35" s="19"/>
      <c r="Y35" s="19"/>
      <c r="Z35" s="19"/>
      <c r="AA35" s="37"/>
      <c r="AB35" s="37"/>
      <c r="AC35" s="37"/>
      <c r="AD35" s="37"/>
      <c r="AE35" s="37"/>
      <c r="AF35" s="174"/>
      <c r="AG35" s="37"/>
      <c r="AH35" s="37"/>
      <c r="AI35" s="37"/>
      <c r="AJ35" s="174"/>
      <c r="AK35" s="37"/>
      <c r="AL35" s="37"/>
      <c r="AM35" s="19"/>
      <c r="AN35" s="33"/>
      <c r="AV35" s="182"/>
      <c r="BB35" s="182"/>
      <c r="BD35" s="182"/>
      <c r="BJ35" s="182"/>
      <c r="BP35" s="182"/>
      <c r="BR35" s="182"/>
    </row>
    <row r="36" spans="1:70">
      <c r="A36" s="14" t="s">
        <v>104</v>
      </c>
      <c r="B36" s="14" t="s">
        <v>590</v>
      </c>
      <c r="C36" s="101"/>
      <c r="D36" s="101">
        <v>2</v>
      </c>
      <c r="E36" s="16"/>
      <c r="F36" s="16"/>
      <c r="G36" s="16"/>
      <c r="H36" s="18"/>
      <c r="I36" s="18"/>
      <c r="J36" s="18"/>
      <c r="K36" s="16"/>
      <c r="L36" s="16"/>
      <c r="M36" s="16"/>
      <c r="N36" s="16"/>
      <c r="O36" s="18"/>
      <c r="P36" s="18"/>
      <c r="Q36" s="18"/>
      <c r="R36" s="16"/>
      <c r="S36" s="37"/>
      <c r="T36" s="37"/>
      <c r="U36" s="37"/>
      <c r="V36" s="37"/>
      <c r="W36" s="19"/>
      <c r="X36" s="19"/>
      <c r="Y36" s="19"/>
      <c r="Z36" s="19"/>
      <c r="AA36" s="37"/>
      <c r="AB36" s="37"/>
      <c r="AC36" s="37"/>
      <c r="AD36" s="37"/>
      <c r="AE36" s="37"/>
      <c r="AF36" s="174"/>
      <c r="AG36" s="37"/>
      <c r="AH36" s="37"/>
      <c r="AI36" s="37"/>
      <c r="AJ36" s="174"/>
      <c r="AK36" s="37"/>
      <c r="AL36" s="37"/>
      <c r="AM36" s="19"/>
      <c r="AN36" s="33"/>
      <c r="AV36" s="182"/>
      <c r="BB36" s="182"/>
      <c r="BD36" s="182"/>
      <c r="BJ36" s="182"/>
      <c r="BP36" s="182"/>
      <c r="BR36" s="182"/>
    </row>
    <row r="37" spans="1:70">
      <c r="A37" s="14" t="s">
        <v>648</v>
      </c>
      <c r="B37" s="14" t="s">
        <v>182</v>
      </c>
      <c r="C37" s="101"/>
      <c r="D37" s="101">
        <v>2</v>
      </c>
      <c r="E37" s="16"/>
      <c r="F37" s="16"/>
      <c r="G37" s="16"/>
      <c r="H37" s="18"/>
      <c r="I37" s="18"/>
      <c r="J37" s="18"/>
      <c r="K37" s="16"/>
      <c r="L37" s="16"/>
      <c r="M37" s="16"/>
      <c r="N37" s="16"/>
      <c r="O37" s="18"/>
      <c r="P37" s="18"/>
      <c r="Q37" s="18"/>
      <c r="R37" s="16"/>
      <c r="S37" s="37"/>
      <c r="T37" s="37"/>
      <c r="U37" s="37"/>
      <c r="V37" s="37"/>
      <c r="W37" s="19"/>
      <c r="X37" s="19"/>
      <c r="Y37" s="19"/>
      <c r="Z37" s="19"/>
      <c r="AA37" s="37"/>
      <c r="AB37" s="37"/>
      <c r="AC37" s="37"/>
      <c r="AD37" s="37"/>
      <c r="AE37" s="37"/>
      <c r="AF37" s="174"/>
      <c r="AG37" s="37"/>
      <c r="AH37" s="37"/>
      <c r="AI37" s="37"/>
      <c r="AJ37" s="174"/>
      <c r="AK37" s="37"/>
      <c r="AL37" s="37"/>
      <c r="AM37" s="19"/>
      <c r="AN37" s="33"/>
      <c r="AV37" s="182"/>
      <c r="BB37" s="182"/>
      <c r="BD37" s="182"/>
      <c r="BJ37" s="182"/>
      <c r="BP37" s="182"/>
      <c r="BR37" s="182"/>
    </row>
    <row r="38" spans="1:70" s="127" customFormat="1">
      <c r="A38" s="135"/>
      <c r="B38" s="135"/>
      <c r="C38" s="136"/>
      <c r="D38" s="137"/>
      <c r="E38" s="16">
        <f t="shared" ref="E38:AN38" si="29">AVERAGE(E3:E26)</f>
        <v>0.54270833333333335</v>
      </c>
      <c r="F38" s="16">
        <f t="shared" si="29"/>
        <v>0.57856481481481481</v>
      </c>
      <c r="G38" s="16">
        <f t="shared" si="29"/>
        <v>0.66804398148148136</v>
      </c>
      <c r="H38" s="18">
        <f t="shared" si="29"/>
        <v>3.5856481481481524E-2</v>
      </c>
      <c r="I38" s="18">
        <f t="shared" si="29"/>
        <v>1.0300925925926E-2</v>
      </c>
      <c r="J38" s="18">
        <f t="shared" si="29"/>
        <v>0.12533564814814821</v>
      </c>
      <c r="K38" s="16">
        <f t="shared" si="29"/>
        <v>0.13541666666666671</v>
      </c>
      <c r="L38" s="16">
        <f t="shared" si="29"/>
        <v>0.30694444444444446</v>
      </c>
      <c r="M38" s="16">
        <f t="shared" si="29"/>
        <v>0.33851417824074076</v>
      </c>
      <c r="N38" s="16">
        <f t="shared" si="29"/>
        <v>0.4545360725308642</v>
      </c>
      <c r="O38" s="18">
        <f t="shared" si="29"/>
        <v>3.1569733796296275E-2</v>
      </c>
      <c r="P38" s="18">
        <f t="shared" si="29"/>
        <v>7.9788773148148154E-3</v>
      </c>
      <c r="Q38" s="18">
        <f t="shared" si="29"/>
        <v>0.14759162808641973</v>
      </c>
      <c r="R38" s="16">
        <f t="shared" si="29"/>
        <v>0.16145833333333334</v>
      </c>
      <c r="S38" s="158"/>
      <c r="T38" s="158"/>
      <c r="U38" s="158"/>
      <c r="V38" s="158"/>
      <c r="W38" s="158">
        <f t="shared" si="29"/>
        <v>7.9541666666666666</v>
      </c>
      <c r="X38" s="158">
        <f t="shared" si="29"/>
        <v>9.3666666666666654</v>
      </c>
      <c r="Y38" s="158">
        <f t="shared" si="29"/>
        <v>4.3458333333333332</v>
      </c>
      <c r="Z38" s="158">
        <f t="shared" si="29"/>
        <v>4.8833333333333329</v>
      </c>
      <c r="AA38" s="158">
        <f t="shared" si="29"/>
        <v>8.7749999999999986</v>
      </c>
      <c r="AB38" s="158">
        <f t="shared" si="29"/>
        <v>7.5375000000000005</v>
      </c>
      <c r="AC38" s="158">
        <f t="shared" si="29"/>
        <v>3.6999999999999997</v>
      </c>
      <c r="AD38" s="158">
        <f t="shared" si="29"/>
        <v>2.4249999999999998</v>
      </c>
      <c r="AE38" s="158">
        <f t="shared" si="29"/>
        <v>1.625</v>
      </c>
      <c r="AF38" s="158">
        <f t="shared" si="29"/>
        <v>3.7708333333333335</v>
      </c>
      <c r="AG38" s="158">
        <f t="shared" si="29"/>
        <v>2.3499999999999996</v>
      </c>
      <c r="AH38" s="158">
        <f t="shared" si="29"/>
        <v>1.5750000000000002</v>
      </c>
      <c r="AI38" s="158">
        <f t="shared" si="29"/>
        <v>5.6083333333333334</v>
      </c>
      <c r="AJ38" s="158">
        <f t="shared" si="29"/>
        <v>2.8458333333333337</v>
      </c>
      <c r="AK38" s="158">
        <f t="shared" si="29"/>
        <v>2.8541666666666665</v>
      </c>
      <c r="AL38" s="158">
        <f t="shared" si="29"/>
        <v>4.7458333333333353</v>
      </c>
      <c r="AM38" s="158">
        <f t="shared" si="29"/>
        <v>74.362500000000011</v>
      </c>
      <c r="AN38" s="158">
        <f t="shared" si="29"/>
        <v>4.583333333333333</v>
      </c>
      <c r="AO38" s="126"/>
      <c r="AP38" s="126"/>
      <c r="AQ38" s="126">
        <f t="shared" ref="AQ38:BP38" si="30">AVERAGE(AQ3:AQ26)</f>
        <v>13.47291666666667</v>
      </c>
      <c r="AR38" s="126">
        <f t="shared" si="30"/>
        <v>12.889583333333333</v>
      </c>
      <c r="AS38" s="126">
        <f t="shared" si="30"/>
        <v>13.152083333333332</v>
      </c>
      <c r="AT38" s="126"/>
      <c r="AU38" s="126">
        <f t="shared" si="30"/>
        <v>13.375</v>
      </c>
      <c r="AV38" s="183">
        <f t="shared" si="30"/>
        <v>13.201215277777777</v>
      </c>
      <c r="AW38" s="126">
        <f t="shared" si="30"/>
        <v>13.589583333333335</v>
      </c>
      <c r="AX38" s="126">
        <f t="shared" si="30"/>
        <v>12.652083333333337</v>
      </c>
      <c r="AY38" s="126">
        <f t="shared" si="30"/>
        <v>12.889583333333336</v>
      </c>
      <c r="AZ38" s="126">
        <f t="shared" si="30"/>
        <v>13.047499999999999</v>
      </c>
      <c r="BA38" s="126"/>
      <c r="BB38" s="183">
        <f t="shared" si="30"/>
        <v>13.007708333333333</v>
      </c>
      <c r="BC38" s="126">
        <f>AVERAGE(BC3:BC26)</f>
        <v>12</v>
      </c>
      <c r="BD38" s="183"/>
      <c r="BE38" s="126">
        <f t="shared" si="30"/>
        <v>12.654166666666663</v>
      </c>
      <c r="BF38" s="126"/>
      <c r="BG38" s="126">
        <f t="shared" si="30"/>
        <v>11.779166666666663</v>
      </c>
      <c r="BH38" s="126">
        <f t="shared" si="30"/>
        <v>12.5275</v>
      </c>
      <c r="BI38" s="126"/>
      <c r="BJ38" s="183">
        <f t="shared" si="30"/>
        <v>12.13263888888889</v>
      </c>
      <c r="BK38" s="126">
        <f t="shared" si="30"/>
        <v>12.654166666666667</v>
      </c>
      <c r="BL38" s="126">
        <f t="shared" si="30"/>
        <v>12.0375</v>
      </c>
      <c r="BM38" s="126">
        <f t="shared" si="30"/>
        <v>11.779166666666663</v>
      </c>
      <c r="BN38" s="126">
        <f t="shared" si="30"/>
        <v>12.164999999999999</v>
      </c>
      <c r="BO38" s="126"/>
      <c r="BP38" s="183">
        <f t="shared" si="30"/>
        <v>12.213749999999999</v>
      </c>
      <c r="BQ38" s="126">
        <f>AVERAGE(BQ3:BQ26)</f>
        <v>11</v>
      </c>
      <c r="BR38" s="183"/>
    </row>
    <row r="39" spans="1:70">
      <c r="H39" s="151" t="s">
        <v>243</v>
      </c>
    </row>
    <row r="40" spans="1:70">
      <c r="H40" s="151" t="s">
        <v>244</v>
      </c>
    </row>
    <row r="41" spans="1:70">
      <c r="H41" s="151" t="s">
        <v>258</v>
      </c>
    </row>
    <row r="42" spans="1:70">
      <c r="H42" s="151" t="s">
        <v>595</v>
      </c>
    </row>
    <row r="43" spans="1:70">
      <c r="H43" s="151" t="s">
        <v>596</v>
      </c>
    </row>
    <row r="44" spans="1:70">
      <c r="H44" s="151" t="s">
        <v>597</v>
      </c>
    </row>
    <row r="45" spans="1:70">
      <c r="H45" s="151" t="s">
        <v>598</v>
      </c>
    </row>
    <row r="46" spans="1:70">
      <c r="H46" s="151" t="s">
        <v>260</v>
      </c>
    </row>
    <row r="47" spans="1:70">
      <c r="H47" s="151" t="s">
        <v>248</v>
      </c>
    </row>
    <row r="48" spans="1:70">
      <c r="I48" s="151" t="s">
        <v>250</v>
      </c>
      <c r="J48" s="151" t="s">
        <v>252</v>
      </c>
      <c r="K48" s="24" t="s">
        <v>251</v>
      </c>
    </row>
    <row r="49" spans="1:70">
      <c r="H49" s="157"/>
      <c r="I49" s="157">
        <v>0.125</v>
      </c>
      <c r="J49" s="157">
        <v>0</v>
      </c>
      <c r="K49" s="24">
        <v>5</v>
      </c>
      <c r="O49" s="157"/>
      <c r="P49" s="157"/>
      <c r="Q49" s="157"/>
    </row>
    <row r="50" spans="1:70">
      <c r="H50" s="157"/>
      <c r="I50" s="157">
        <v>0.12516203703703704</v>
      </c>
      <c r="J50" s="157">
        <v>0</v>
      </c>
      <c r="K50" s="24">
        <v>5</v>
      </c>
      <c r="O50" s="157"/>
      <c r="P50" s="157"/>
      <c r="Q50" s="157"/>
    </row>
    <row r="51" spans="1:70">
      <c r="H51" s="157"/>
      <c r="I51" s="157">
        <v>0.125173611111111</v>
      </c>
      <c r="J51" s="157">
        <v>0</v>
      </c>
      <c r="K51" s="24">
        <v>5</v>
      </c>
      <c r="O51" s="157"/>
      <c r="P51" s="157"/>
      <c r="Q51" s="157"/>
    </row>
    <row r="52" spans="1:70">
      <c r="H52" s="157"/>
      <c r="I52" s="157">
        <v>0.12518518518518501</v>
      </c>
      <c r="J52" s="157">
        <v>0.1</v>
      </c>
      <c r="K52" s="24">
        <v>4.9000000000000004</v>
      </c>
      <c r="O52" s="157"/>
      <c r="P52" s="157"/>
      <c r="Q52" s="157"/>
    </row>
    <row r="53" spans="1:70" s="24" customFormat="1">
      <c r="A53" s="22"/>
      <c r="B53" s="22"/>
      <c r="C53" s="23"/>
      <c r="D53" s="23"/>
      <c r="H53" s="157"/>
      <c r="I53" s="157" t="s">
        <v>253</v>
      </c>
      <c r="J53" s="157"/>
      <c r="O53" s="157"/>
      <c r="P53" s="157"/>
      <c r="Q53" s="157"/>
      <c r="S53" s="156"/>
      <c r="T53" s="156"/>
      <c r="U53" s="156"/>
      <c r="V53" s="156"/>
      <c r="W53" s="155"/>
      <c r="X53" s="152"/>
      <c r="Y53" s="152"/>
      <c r="Z53" s="152"/>
      <c r="AA53" s="156"/>
      <c r="AB53" s="156"/>
      <c r="AC53" s="156"/>
      <c r="AD53" s="156"/>
      <c r="AE53" s="156"/>
      <c r="AF53" s="156"/>
      <c r="AG53" s="156"/>
      <c r="AH53" s="156"/>
      <c r="AI53" s="156"/>
      <c r="AJ53" s="156"/>
      <c r="AK53" s="156"/>
      <c r="AL53" s="156"/>
      <c r="AM53" s="152"/>
      <c r="AN53" s="152"/>
      <c r="AO53" s="22"/>
      <c r="AP53" s="22"/>
      <c r="AQ53"/>
      <c r="AR53"/>
      <c r="AS53"/>
      <c r="AT53"/>
      <c r="AU53"/>
      <c r="AV53"/>
      <c r="AW53"/>
      <c r="AX53"/>
      <c r="AY53"/>
      <c r="AZ53"/>
      <c r="BA53"/>
      <c r="BB53"/>
      <c r="BC53"/>
      <c r="BD53"/>
      <c r="BE53"/>
      <c r="BF53"/>
      <c r="BG53"/>
      <c r="BH53"/>
      <c r="BI53"/>
      <c r="BJ53"/>
      <c r="BK53"/>
      <c r="BL53"/>
      <c r="BM53"/>
      <c r="BN53"/>
      <c r="BO53"/>
      <c r="BP53"/>
      <c r="BQ53"/>
      <c r="BR53"/>
    </row>
    <row r="54" spans="1:70" s="24" customFormat="1">
      <c r="A54" s="22"/>
      <c r="B54" s="22"/>
      <c r="C54" s="23"/>
      <c r="D54" s="23"/>
      <c r="H54" s="157"/>
      <c r="I54" s="157" t="s">
        <v>253</v>
      </c>
      <c r="J54" s="157"/>
      <c r="O54" s="157"/>
      <c r="P54" s="157"/>
      <c r="Q54" s="157"/>
      <c r="S54" s="156"/>
      <c r="T54" s="156"/>
      <c r="U54" s="156"/>
      <c r="V54" s="156"/>
      <c r="W54" s="155"/>
      <c r="X54" s="152"/>
      <c r="Y54" s="152"/>
      <c r="Z54" s="152"/>
      <c r="AA54" s="156"/>
      <c r="AB54" s="156"/>
      <c r="AC54" s="156"/>
      <c r="AD54" s="156"/>
      <c r="AE54" s="156"/>
      <c r="AF54" s="156"/>
      <c r="AG54" s="156"/>
      <c r="AH54" s="156"/>
      <c r="AI54" s="156"/>
      <c r="AJ54" s="156"/>
      <c r="AK54" s="156"/>
      <c r="AL54" s="156"/>
      <c r="AM54" s="152"/>
      <c r="AN54" s="152"/>
      <c r="AO54" s="22"/>
      <c r="AP54" s="22"/>
      <c r="AQ54"/>
      <c r="AR54"/>
      <c r="AS54"/>
      <c r="AT54"/>
      <c r="AU54"/>
      <c r="AV54"/>
      <c r="AW54"/>
      <c r="AX54"/>
      <c r="AY54"/>
      <c r="AZ54"/>
      <c r="BA54"/>
      <c r="BB54"/>
      <c r="BC54"/>
      <c r="BD54"/>
      <c r="BE54"/>
      <c r="BF54"/>
      <c r="BG54"/>
      <c r="BH54"/>
      <c r="BI54"/>
      <c r="BJ54"/>
      <c r="BK54"/>
      <c r="BL54"/>
      <c r="BM54"/>
      <c r="BN54"/>
      <c r="BO54"/>
      <c r="BP54"/>
      <c r="BQ54"/>
      <c r="BR54"/>
    </row>
    <row r="55" spans="1:70" s="24" customFormat="1">
      <c r="A55" s="22"/>
      <c r="B55" s="22"/>
      <c r="C55" s="23"/>
      <c r="D55" s="23"/>
      <c r="H55" s="157"/>
      <c r="I55" s="157">
        <v>0.12534722222222222</v>
      </c>
      <c r="J55" s="157">
        <v>0.1</v>
      </c>
      <c r="K55" s="24">
        <v>4.9000000000000004</v>
      </c>
      <c r="O55" s="157"/>
      <c r="P55" s="157"/>
      <c r="Q55" s="157"/>
      <c r="S55" s="156"/>
      <c r="T55" s="156"/>
      <c r="U55" s="156"/>
      <c r="V55" s="156"/>
      <c r="W55" s="155"/>
      <c r="X55" s="152"/>
      <c r="Y55" s="152"/>
      <c r="Z55" s="152"/>
      <c r="AA55" s="156"/>
      <c r="AB55" s="156"/>
      <c r="AC55" s="156"/>
      <c r="AD55" s="156"/>
      <c r="AE55" s="156"/>
      <c r="AF55" s="156"/>
      <c r="AG55" s="156"/>
      <c r="AH55" s="156"/>
      <c r="AI55" s="156"/>
      <c r="AJ55" s="156"/>
      <c r="AK55" s="156"/>
      <c r="AL55" s="156"/>
      <c r="AM55" s="152"/>
      <c r="AN55" s="152"/>
      <c r="AO55" s="22"/>
      <c r="AP55" s="22"/>
      <c r="AQ55"/>
      <c r="AR55"/>
      <c r="AS55"/>
      <c r="AT55"/>
      <c r="AU55"/>
      <c r="AV55"/>
      <c r="AW55"/>
      <c r="AX55"/>
      <c r="AY55"/>
      <c r="AZ55"/>
      <c r="BA55"/>
      <c r="BB55"/>
      <c r="BC55"/>
      <c r="BD55"/>
      <c r="BE55"/>
      <c r="BF55"/>
      <c r="BG55"/>
      <c r="BH55"/>
      <c r="BI55"/>
      <c r="BJ55"/>
      <c r="BK55"/>
      <c r="BL55"/>
      <c r="BM55"/>
      <c r="BN55"/>
      <c r="BO55"/>
      <c r="BP55"/>
      <c r="BQ55"/>
      <c r="BR55"/>
    </row>
    <row r="56" spans="1:70" s="24" customFormat="1">
      <c r="A56" s="22"/>
      <c r="B56" s="22"/>
      <c r="C56" s="23"/>
      <c r="D56" s="23"/>
      <c r="H56" s="157"/>
      <c r="I56" s="157" t="s">
        <v>253</v>
      </c>
      <c r="J56" s="157"/>
      <c r="O56" s="157"/>
      <c r="P56" s="157"/>
      <c r="Q56" s="157"/>
      <c r="S56" s="156"/>
      <c r="T56" s="156"/>
      <c r="U56" s="156"/>
      <c r="V56" s="156"/>
      <c r="W56" s="155"/>
      <c r="X56" s="152"/>
      <c r="Y56" s="152"/>
      <c r="Z56" s="152"/>
      <c r="AA56" s="156"/>
      <c r="AB56" s="156"/>
      <c r="AC56" s="156"/>
      <c r="AD56" s="156"/>
      <c r="AE56" s="156"/>
      <c r="AF56" s="156"/>
      <c r="AG56" s="156"/>
      <c r="AH56" s="156"/>
      <c r="AI56" s="156"/>
      <c r="AJ56" s="156"/>
      <c r="AK56" s="156"/>
      <c r="AL56" s="156"/>
      <c r="AM56" s="152"/>
      <c r="AN56" s="152"/>
      <c r="AO56" s="22"/>
      <c r="AP56" s="22"/>
      <c r="AQ56"/>
      <c r="AR56"/>
      <c r="AS56"/>
      <c r="AT56"/>
      <c r="AU56"/>
      <c r="AV56"/>
      <c r="AW56"/>
      <c r="AX56"/>
      <c r="AY56"/>
      <c r="AZ56"/>
      <c r="BA56"/>
      <c r="BB56"/>
      <c r="BC56"/>
      <c r="BD56"/>
      <c r="BE56"/>
      <c r="BF56"/>
      <c r="BG56"/>
      <c r="BH56"/>
      <c r="BI56"/>
      <c r="BJ56"/>
      <c r="BK56"/>
      <c r="BL56"/>
      <c r="BM56"/>
      <c r="BN56"/>
      <c r="BO56"/>
      <c r="BP56"/>
      <c r="BQ56"/>
      <c r="BR56"/>
    </row>
    <row r="57" spans="1:70" s="24" customFormat="1">
      <c r="A57" s="22"/>
      <c r="B57" s="22"/>
      <c r="C57" s="23"/>
      <c r="D57" s="23"/>
      <c r="H57" s="157"/>
      <c r="I57" s="157">
        <v>0.12552083333333333</v>
      </c>
      <c r="J57" s="157">
        <v>0.1</v>
      </c>
      <c r="K57" s="24">
        <v>4.9000000000000004</v>
      </c>
      <c r="O57" s="157"/>
      <c r="P57" s="157"/>
      <c r="Q57" s="157"/>
      <c r="S57" s="156"/>
      <c r="T57" s="156"/>
      <c r="U57" s="156"/>
      <c r="V57" s="156"/>
      <c r="W57" s="155"/>
      <c r="X57" s="152"/>
      <c r="Y57" s="152"/>
      <c r="Z57" s="152"/>
      <c r="AA57" s="156"/>
      <c r="AB57" s="156"/>
      <c r="AC57" s="156"/>
      <c r="AD57" s="156"/>
      <c r="AE57" s="156"/>
      <c r="AF57" s="156"/>
      <c r="AG57" s="156"/>
      <c r="AH57" s="156"/>
      <c r="AI57" s="156"/>
      <c r="AJ57" s="156"/>
      <c r="AK57" s="156"/>
      <c r="AL57" s="156"/>
      <c r="AM57" s="152"/>
      <c r="AN57" s="152"/>
      <c r="AO57" s="22"/>
      <c r="AP57" s="22"/>
      <c r="AQ57"/>
      <c r="AR57"/>
      <c r="AS57"/>
      <c r="AT57"/>
      <c r="AU57"/>
      <c r="AV57"/>
      <c r="AW57"/>
      <c r="AX57"/>
      <c r="AY57"/>
      <c r="AZ57"/>
      <c r="BA57"/>
      <c r="BB57"/>
      <c r="BC57"/>
      <c r="BD57"/>
      <c r="BE57"/>
      <c r="BF57"/>
      <c r="BG57"/>
      <c r="BH57"/>
      <c r="BI57"/>
      <c r="BJ57"/>
      <c r="BK57"/>
      <c r="BL57"/>
      <c r="BM57"/>
      <c r="BN57"/>
      <c r="BO57"/>
      <c r="BP57"/>
      <c r="BQ57"/>
      <c r="BR57"/>
    </row>
    <row r="58" spans="1:70" s="24" customFormat="1">
      <c r="A58" s="22"/>
      <c r="B58" s="22"/>
      <c r="C58" s="23"/>
      <c r="D58" s="23"/>
      <c r="H58" s="157"/>
      <c r="I58" s="157">
        <v>0.12553240740740743</v>
      </c>
      <c r="J58" s="157">
        <v>0.2</v>
      </c>
      <c r="K58" s="24">
        <v>4.8</v>
      </c>
      <c r="O58" s="157"/>
      <c r="P58" s="157"/>
      <c r="Q58" s="157"/>
      <c r="S58" s="156"/>
      <c r="T58" s="156"/>
      <c r="U58" s="156"/>
      <c r="V58" s="156"/>
      <c r="W58" s="155"/>
      <c r="X58" s="152"/>
      <c r="Y58" s="152"/>
      <c r="Z58" s="152"/>
      <c r="AA58" s="156"/>
      <c r="AB58" s="156"/>
      <c r="AC58" s="156"/>
      <c r="AD58" s="156"/>
      <c r="AE58" s="156"/>
      <c r="AF58" s="156"/>
      <c r="AG58" s="156"/>
      <c r="AH58" s="156"/>
      <c r="AI58" s="156"/>
      <c r="AJ58" s="156"/>
      <c r="AK58" s="156"/>
      <c r="AL58" s="156"/>
      <c r="AM58" s="152"/>
      <c r="AN58" s="152"/>
      <c r="AO58" s="22"/>
      <c r="AP58" s="22"/>
      <c r="AQ58"/>
      <c r="AR58"/>
      <c r="AS58"/>
      <c r="AT58"/>
      <c r="AU58"/>
      <c r="AV58"/>
      <c r="AW58"/>
      <c r="AX58"/>
      <c r="AY58"/>
      <c r="AZ58"/>
      <c r="BA58"/>
      <c r="BB58"/>
      <c r="BC58"/>
      <c r="BD58"/>
      <c r="BE58"/>
      <c r="BF58"/>
      <c r="BG58"/>
      <c r="BH58"/>
      <c r="BI58"/>
      <c r="BJ58"/>
      <c r="BK58"/>
      <c r="BL58"/>
      <c r="BM58"/>
      <c r="BN58"/>
      <c r="BO58"/>
      <c r="BP58"/>
      <c r="BQ58"/>
      <c r="BR58"/>
    </row>
    <row r="59" spans="1:70" s="24" customFormat="1">
      <c r="A59" s="22"/>
      <c r="B59" s="22"/>
      <c r="C59" s="23"/>
      <c r="D59" s="23"/>
      <c r="H59" s="157"/>
      <c r="I59" s="157" t="s">
        <v>253</v>
      </c>
      <c r="J59" s="157"/>
      <c r="O59" s="157"/>
      <c r="P59" s="157"/>
      <c r="Q59" s="157"/>
      <c r="S59" s="156"/>
      <c r="T59" s="156"/>
      <c r="U59" s="156"/>
      <c r="V59" s="156"/>
      <c r="W59" s="155"/>
      <c r="X59" s="152"/>
      <c r="Y59" s="152"/>
      <c r="Z59" s="152"/>
      <c r="AA59" s="156"/>
      <c r="AB59" s="156"/>
      <c r="AC59" s="156"/>
      <c r="AD59" s="156"/>
      <c r="AE59" s="156"/>
      <c r="AF59" s="156"/>
      <c r="AG59" s="156"/>
      <c r="AH59" s="156"/>
      <c r="AI59" s="156"/>
      <c r="AJ59" s="156"/>
      <c r="AK59" s="156"/>
      <c r="AL59" s="156"/>
      <c r="AM59" s="152"/>
      <c r="AN59" s="152"/>
      <c r="AO59" s="22"/>
      <c r="AP59" s="22"/>
      <c r="AQ59"/>
      <c r="AR59"/>
      <c r="AS59"/>
      <c r="AT59"/>
      <c r="AU59"/>
      <c r="AV59"/>
      <c r="AW59"/>
      <c r="AX59"/>
      <c r="AY59"/>
      <c r="AZ59"/>
      <c r="BA59"/>
      <c r="BB59"/>
      <c r="BC59"/>
      <c r="BD59"/>
      <c r="BE59"/>
      <c r="BF59"/>
      <c r="BG59"/>
      <c r="BH59"/>
      <c r="BI59"/>
      <c r="BJ59"/>
      <c r="BK59"/>
      <c r="BL59"/>
      <c r="BM59"/>
      <c r="BN59"/>
      <c r="BO59"/>
      <c r="BP59"/>
      <c r="BQ59"/>
      <c r="BR59"/>
    </row>
    <row r="60" spans="1:70" s="24" customFormat="1">
      <c r="A60" s="22"/>
      <c r="B60" s="22"/>
      <c r="C60" s="23"/>
      <c r="D60" s="23"/>
      <c r="H60" s="157"/>
      <c r="I60" s="157">
        <v>0.12586805555555555</v>
      </c>
      <c r="J60" s="157">
        <v>0.2</v>
      </c>
      <c r="K60" s="24">
        <v>4.8</v>
      </c>
      <c r="O60" s="157"/>
      <c r="P60" s="157"/>
      <c r="Q60" s="157"/>
      <c r="S60" s="156"/>
      <c r="T60" s="156"/>
      <c r="U60" s="156"/>
      <c r="V60" s="156"/>
      <c r="W60" s="155"/>
      <c r="X60" s="152"/>
      <c r="Y60" s="152"/>
      <c r="Z60" s="152"/>
      <c r="AA60" s="156"/>
      <c r="AB60" s="156"/>
      <c r="AC60" s="156"/>
      <c r="AD60" s="156"/>
      <c r="AE60" s="156"/>
      <c r="AF60" s="156"/>
      <c r="AG60" s="156"/>
      <c r="AH60" s="156"/>
      <c r="AI60" s="156"/>
      <c r="AJ60" s="156"/>
      <c r="AK60" s="156"/>
      <c r="AL60" s="156"/>
      <c r="AM60" s="152"/>
      <c r="AN60" s="152"/>
      <c r="AO60" s="22"/>
      <c r="AP60" s="22"/>
      <c r="AQ60"/>
      <c r="AR60"/>
      <c r="AS60"/>
      <c r="AT60"/>
      <c r="AU60"/>
      <c r="AV60"/>
      <c r="AW60"/>
      <c r="AX60"/>
      <c r="AY60"/>
      <c r="AZ60"/>
      <c r="BA60"/>
      <c r="BB60"/>
      <c r="BC60"/>
      <c r="BD60"/>
      <c r="BE60"/>
      <c r="BF60"/>
      <c r="BG60"/>
      <c r="BH60"/>
      <c r="BI60"/>
      <c r="BJ60"/>
      <c r="BK60"/>
      <c r="BL60"/>
      <c r="BM60"/>
      <c r="BN60"/>
      <c r="BO60"/>
      <c r="BP60"/>
      <c r="BQ60"/>
      <c r="BR60"/>
    </row>
    <row r="61" spans="1:70" s="24" customFormat="1">
      <c r="A61" s="22"/>
      <c r="B61" s="22"/>
      <c r="C61" s="23"/>
      <c r="D61" s="23"/>
      <c r="H61" s="157"/>
      <c r="I61" s="157">
        <v>0.12587962962962965</v>
      </c>
      <c r="J61" s="157">
        <v>0.3</v>
      </c>
      <c r="K61" s="24">
        <v>4.7</v>
      </c>
      <c r="O61" s="157"/>
      <c r="P61" s="157"/>
      <c r="Q61" s="157"/>
      <c r="S61" s="156"/>
      <c r="T61" s="156"/>
      <c r="U61" s="156"/>
      <c r="V61" s="156"/>
      <c r="W61" s="155"/>
      <c r="X61" s="152"/>
      <c r="Y61" s="152"/>
      <c r="Z61" s="152"/>
      <c r="AA61" s="156"/>
      <c r="AB61" s="156"/>
      <c r="AC61" s="156"/>
      <c r="AD61" s="156"/>
      <c r="AE61" s="156"/>
      <c r="AF61" s="156"/>
      <c r="AG61" s="156"/>
      <c r="AH61" s="156"/>
      <c r="AI61" s="156"/>
      <c r="AJ61" s="156"/>
      <c r="AK61" s="156"/>
      <c r="AL61" s="156"/>
      <c r="AM61" s="152"/>
      <c r="AN61" s="152"/>
      <c r="AO61" s="22"/>
      <c r="AP61" s="22"/>
      <c r="AQ61"/>
      <c r="AR61"/>
      <c r="AS61"/>
      <c r="AT61"/>
      <c r="AU61"/>
      <c r="AV61"/>
      <c r="AW61"/>
      <c r="AX61"/>
      <c r="AY61"/>
      <c r="AZ61"/>
      <c r="BA61"/>
      <c r="BB61"/>
      <c r="BC61"/>
      <c r="BD61"/>
      <c r="BE61"/>
      <c r="BF61"/>
      <c r="BG61"/>
      <c r="BH61"/>
      <c r="BI61"/>
      <c r="BJ61"/>
      <c r="BK61"/>
      <c r="BL61"/>
      <c r="BM61"/>
      <c r="BN61"/>
      <c r="BO61"/>
      <c r="BP61"/>
      <c r="BQ61"/>
      <c r="BR61"/>
    </row>
    <row r="62" spans="1:70" s="24" customFormat="1">
      <c r="A62" s="22"/>
      <c r="B62" s="22"/>
      <c r="C62" s="23"/>
      <c r="D62" s="23"/>
      <c r="H62" s="151"/>
      <c r="I62" s="151" t="s">
        <v>253</v>
      </c>
      <c r="J62" s="151"/>
      <c r="O62" s="151"/>
      <c r="P62" s="151"/>
      <c r="Q62" s="151"/>
      <c r="S62" s="156"/>
      <c r="T62" s="156"/>
      <c r="U62" s="156"/>
      <c r="V62" s="156"/>
      <c r="W62" s="155"/>
      <c r="X62" s="152"/>
      <c r="Y62" s="152"/>
      <c r="Z62" s="152"/>
      <c r="AA62" s="156"/>
      <c r="AB62" s="156"/>
      <c r="AC62" s="156"/>
      <c r="AD62" s="156"/>
      <c r="AE62" s="156"/>
      <c r="AF62" s="156"/>
      <c r="AG62" s="156"/>
      <c r="AH62" s="156"/>
      <c r="AI62" s="156"/>
      <c r="AJ62" s="156"/>
      <c r="AK62" s="156"/>
      <c r="AL62" s="156"/>
      <c r="AM62" s="152"/>
      <c r="AN62" s="152"/>
      <c r="AO62" s="22"/>
      <c r="AP62" s="22"/>
      <c r="AQ62"/>
      <c r="AR62"/>
      <c r="AS62"/>
      <c r="AT62"/>
      <c r="AU62"/>
      <c r="AV62"/>
      <c r="AW62"/>
      <c r="AX62"/>
      <c r="AY62"/>
      <c r="AZ62"/>
      <c r="BA62"/>
      <c r="BB62"/>
      <c r="BC62"/>
      <c r="BD62"/>
      <c r="BE62"/>
      <c r="BF62"/>
      <c r="BG62"/>
      <c r="BH62"/>
      <c r="BI62"/>
      <c r="BJ62"/>
      <c r="BK62"/>
      <c r="BL62"/>
      <c r="BM62"/>
      <c r="BN62"/>
      <c r="BO62"/>
      <c r="BP62"/>
      <c r="BQ62"/>
      <c r="BR62"/>
    </row>
    <row r="63" spans="1:70" s="24" customFormat="1">
      <c r="A63" s="22"/>
      <c r="B63" s="22"/>
      <c r="C63" s="23"/>
      <c r="D63" s="23"/>
      <c r="H63" s="151" t="s">
        <v>254</v>
      </c>
      <c r="I63" s="151"/>
      <c r="J63" s="151"/>
      <c r="O63" s="151"/>
      <c r="P63" s="151"/>
      <c r="Q63" s="151"/>
      <c r="S63" s="156"/>
      <c r="T63" s="156"/>
      <c r="U63" s="156"/>
      <c r="V63" s="156"/>
      <c r="W63" s="155"/>
      <c r="X63" s="152"/>
      <c r="Y63" s="152"/>
      <c r="Z63" s="152"/>
      <c r="AA63" s="156"/>
      <c r="AB63" s="156"/>
      <c r="AC63" s="156"/>
      <c r="AD63" s="156"/>
      <c r="AE63" s="156"/>
      <c r="AF63" s="156"/>
      <c r="AG63" s="156"/>
      <c r="AH63" s="156"/>
      <c r="AI63" s="156"/>
      <c r="AJ63" s="156"/>
      <c r="AK63" s="156"/>
      <c r="AL63" s="156"/>
      <c r="AM63" s="152"/>
      <c r="AN63" s="152"/>
      <c r="AO63" s="22"/>
      <c r="AP63" s="22"/>
      <c r="AQ63"/>
      <c r="AR63"/>
      <c r="AS63"/>
      <c r="AT63"/>
      <c r="AU63"/>
      <c r="AV63"/>
      <c r="AW63"/>
      <c r="AX63"/>
      <c r="AY63"/>
      <c r="AZ63"/>
      <c r="BA63"/>
      <c r="BB63"/>
      <c r="BC63"/>
      <c r="BD63"/>
      <c r="BE63"/>
      <c r="BF63"/>
      <c r="BG63"/>
      <c r="BH63"/>
      <c r="BI63"/>
      <c r="BJ63"/>
      <c r="BK63"/>
      <c r="BL63"/>
      <c r="BM63"/>
      <c r="BN63"/>
      <c r="BO63"/>
      <c r="BP63"/>
      <c r="BQ63"/>
      <c r="BR63"/>
    </row>
    <row r="64" spans="1:70" s="24" customFormat="1">
      <c r="A64" s="22"/>
      <c r="B64" s="22"/>
      <c r="C64" s="23"/>
      <c r="D64" s="23"/>
      <c r="H64" s="151" t="s">
        <v>599</v>
      </c>
      <c r="I64" s="151"/>
      <c r="J64" s="151"/>
      <c r="O64" s="151"/>
      <c r="P64" s="151"/>
      <c r="Q64" s="151"/>
      <c r="S64" s="156"/>
      <c r="T64" s="156"/>
      <c r="U64" s="156"/>
      <c r="V64" s="156"/>
      <c r="W64" s="155"/>
      <c r="X64" s="152"/>
      <c r="Y64" s="152"/>
      <c r="Z64" s="152"/>
      <c r="AA64" s="156"/>
      <c r="AB64" s="156"/>
      <c r="AC64" s="156"/>
      <c r="AD64" s="156"/>
      <c r="AE64" s="156"/>
      <c r="AF64" s="156"/>
      <c r="AG64" s="156"/>
      <c r="AH64" s="156"/>
      <c r="AI64" s="156"/>
      <c r="AJ64" s="156"/>
      <c r="AK64" s="156"/>
      <c r="AL64" s="156"/>
      <c r="AM64" s="152"/>
      <c r="AN64" s="152"/>
      <c r="AO64" s="22"/>
      <c r="AP64" s="22"/>
      <c r="AQ64"/>
      <c r="AR64"/>
      <c r="AS64"/>
      <c r="AT64"/>
      <c r="AU64"/>
      <c r="AV64"/>
      <c r="AW64"/>
      <c r="AX64"/>
      <c r="AY64"/>
      <c r="AZ64"/>
      <c r="BA64"/>
      <c r="BB64"/>
      <c r="BC64"/>
      <c r="BD64"/>
      <c r="BE64"/>
      <c r="BF64"/>
      <c r="BG64"/>
      <c r="BH64"/>
      <c r="BI64"/>
      <c r="BJ64"/>
      <c r="BK64"/>
      <c r="BL64"/>
      <c r="BM64"/>
      <c r="BN64"/>
      <c r="BO64"/>
      <c r="BP64"/>
      <c r="BQ64"/>
      <c r="BR64"/>
    </row>
    <row r="65" spans="1:70" s="24" customFormat="1">
      <c r="A65" s="22"/>
      <c r="B65" s="22"/>
      <c r="C65" s="23"/>
      <c r="D65" s="23"/>
      <c r="H65" s="151" t="s">
        <v>255</v>
      </c>
      <c r="I65" s="151"/>
      <c r="J65" s="151"/>
      <c r="O65" s="151"/>
      <c r="P65" s="151"/>
      <c r="Q65" s="151"/>
      <c r="S65" s="156"/>
      <c r="T65" s="156"/>
      <c r="U65" s="156"/>
      <c r="V65" s="156"/>
      <c r="W65" s="155"/>
      <c r="X65" s="152"/>
      <c r="Y65" s="152"/>
      <c r="Z65" s="152"/>
      <c r="AA65" s="156"/>
      <c r="AB65" s="156"/>
      <c r="AC65" s="156"/>
      <c r="AD65" s="156"/>
      <c r="AE65" s="156"/>
      <c r="AF65" s="156"/>
      <c r="AG65" s="156"/>
      <c r="AH65" s="156"/>
      <c r="AI65" s="156"/>
      <c r="AJ65" s="156"/>
      <c r="AK65" s="156"/>
      <c r="AL65" s="156"/>
      <c r="AM65" s="152"/>
      <c r="AN65" s="152"/>
      <c r="AO65" s="22"/>
      <c r="AP65" s="22"/>
      <c r="AQ65"/>
      <c r="AR65"/>
      <c r="AS65"/>
      <c r="AT65"/>
      <c r="AU65"/>
      <c r="AV65"/>
      <c r="AW65"/>
      <c r="AX65"/>
      <c r="AY65"/>
      <c r="AZ65"/>
      <c r="BA65"/>
      <c r="BB65"/>
      <c r="BC65"/>
      <c r="BD65"/>
      <c r="BE65"/>
      <c r="BF65"/>
      <c r="BG65"/>
      <c r="BH65"/>
      <c r="BI65"/>
      <c r="BJ65"/>
      <c r="BK65"/>
      <c r="BL65"/>
      <c r="BM65"/>
      <c r="BN65"/>
      <c r="BO65"/>
      <c r="BP65"/>
      <c r="BQ65"/>
      <c r="BR65"/>
    </row>
    <row r="66" spans="1:70" s="24" customFormat="1">
      <c r="A66" s="22"/>
      <c r="B66" s="22"/>
      <c r="C66" s="23"/>
      <c r="D66" s="23"/>
      <c r="H66" s="151" t="s">
        <v>256</v>
      </c>
      <c r="I66" s="151"/>
      <c r="J66" s="151"/>
      <c r="O66" s="151"/>
      <c r="P66" s="151"/>
      <c r="Q66" s="151"/>
      <c r="S66" s="156"/>
      <c r="T66" s="156"/>
      <c r="U66" s="156"/>
      <c r="V66" s="156"/>
      <c r="W66" s="155"/>
      <c r="X66" s="152"/>
      <c r="Y66" s="152"/>
      <c r="Z66" s="152"/>
      <c r="AA66" s="156"/>
      <c r="AB66" s="156"/>
      <c r="AC66" s="156"/>
      <c r="AD66" s="156"/>
      <c r="AE66" s="156"/>
      <c r="AF66" s="156"/>
      <c r="AG66" s="156"/>
      <c r="AH66" s="156"/>
      <c r="AI66" s="156"/>
      <c r="AJ66" s="156"/>
      <c r="AK66" s="156"/>
      <c r="AL66" s="156"/>
      <c r="AM66" s="152"/>
      <c r="AN66" s="152"/>
      <c r="AO66" s="22"/>
      <c r="AP66" s="22"/>
      <c r="AQ66"/>
      <c r="AR66"/>
      <c r="AS66"/>
      <c r="AT66"/>
      <c r="AU66"/>
      <c r="AV66"/>
      <c r="AW66"/>
      <c r="AX66"/>
      <c r="AY66"/>
      <c r="AZ66"/>
      <c r="BA66"/>
      <c r="BB66"/>
      <c r="BC66"/>
      <c r="BD66"/>
      <c r="BE66"/>
      <c r="BF66"/>
      <c r="BG66"/>
      <c r="BH66"/>
      <c r="BI66"/>
      <c r="BJ66"/>
      <c r="BK66"/>
      <c r="BL66"/>
      <c r="BM66"/>
      <c r="BN66"/>
      <c r="BO66"/>
      <c r="BP66"/>
      <c r="BQ66"/>
      <c r="BR66"/>
    </row>
    <row r="67" spans="1:70" s="24" customFormat="1">
      <c r="A67" s="22"/>
      <c r="B67" s="22"/>
      <c r="C67" s="23"/>
      <c r="D67" s="23"/>
      <c r="H67" s="151" t="s">
        <v>259</v>
      </c>
      <c r="I67" s="151"/>
      <c r="J67" s="151"/>
      <c r="O67" s="151"/>
      <c r="P67" s="151"/>
      <c r="Q67" s="151"/>
      <c r="S67" s="156"/>
      <c r="T67" s="156"/>
      <c r="U67" s="156"/>
      <c r="V67" s="156"/>
      <c r="W67" s="155"/>
      <c r="X67" s="152"/>
      <c r="Y67" s="152"/>
      <c r="Z67" s="152"/>
      <c r="AA67" s="156"/>
      <c r="AB67" s="156"/>
      <c r="AC67" s="156"/>
      <c r="AD67" s="156"/>
      <c r="AE67" s="156"/>
      <c r="AF67" s="156"/>
      <c r="AG67" s="156"/>
      <c r="AH67" s="156"/>
      <c r="AI67" s="156"/>
      <c r="AJ67" s="156"/>
      <c r="AK67" s="156"/>
      <c r="AL67" s="156"/>
      <c r="AM67" s="152"/>
      <c r="AN67" s="152"/>
      <c r="AO67" s="22"/>
      <c r="AP67" s="22"/>
      <c r="AQ67"/>
      <c r="AR67"/>
      <c r="AS67"/>
      <c r="AT67"/>
      <c r="AU67"/>
      <c r="AV67"/>
      <c r="AW67"/>
      <c r="AX67"/>
      <c r="AY67"/>
      <c r="AZ67"/>
      <c r="BA67"/>
      <c r="BB67"/>
      <c r="BC67"/>
      <c r="BD67"/>
      <c r="BE67"/>
      <c r="BF67"/>
      <c r="BG67"/>
      <c r="BH67"/>
      <c r="BI67"/>
      <c r="BJ67"/>
      <c r="BK67"/>
      <c r="BL67"/>
      <c r="BM67"/>
      <c r="BN67"/>
      <c r="BO67"/>
      <c r="BP67"/>
      <c r="BQ67"/>
      <c r="BR67"/>
    </row>
    <row r="69" spans="1:70">
      <c r="H69" s="151" t="s">
        <v>659</v>
      </c>
    </row>
  </sheetData>
  <phoneticPr fontId="3"/>
  <conditionalFormatting sqref="AV3:AV27 BB3:BB27">
    <cfRule type="cellIs" dxfId="13" priority="2" stopIfTrue="1" operator="lessThanOrEqual">
      <formula>12</formula>
    </cfRule>
  </conditionalFormatting>
  <conditionalFormatting sqref="BJ3:BJ30 BP3:BP27">
    <cfRule type="cellIs" dxfId="12" priority="1" stopIfTrue="1" operator="lessThanOrEqual">
      <formula>11</formula>
    </cfRule>
  </conditionalFormatting>
  <pageMargins left="0.23" right="0.2" top="0.98399999999999999" bottom="0.98399999999999999" header="0.51200000000000001" footer="0.51200000000000001"/>
  <pageSetup paperSize="9" scale="45" orientation="landscape" r:id="rId1"/>
  <headerFooter alignWithMargins="0"/>
  <ignoredErrors>
    <ignoredError sqref="AM2 AF3 AF23" formulaRange="1"/>
  </ignoredErrors>
</worksheet>
</file>

<file path=xl/worksheets/sheet11.xml><?xml version="1.0" encoding="utf-8"?>
<worksheet xmlns="http://schemas.openxmlformats.org/spreadsheetml/2006/main" xmlns:r="http://schemas.openxmlformats.org/officeDocument/2006/relationships">
  <sheetPr>
    <pageSetUpPr fitToPage="1"/>
  </sheetPr>
  <dimension ref="A1:BR67"/>
  <sheetViews>
    <sheetView view="pageBreakPreview" zoomScaleNormal="100" zoomScaleSheetLayoutView="100" workbookViewId="0">
      <pane xSplit="2" ySplit="1" topLeftCell="AC2" activePane="bottomRight" state="frozen"/>
      <selection pane="topRight" activeCell="C1" sqref="C1"/>
      <selection pane="bottomLeft" activeCell="A2" sqref="A2"/>
      <selection pane="bottomRight" activeCell="AG16" sqref="AG16"/>
    </sheetView>
  </sheetViews>
  <sheetFormatPr defaultRowHeight="13.5"/>
  <cols>
    <col min="1" max="1" width="3.75" style="81" bestFit="1" customWidth="1"/>
    <col min="2" max="2" width="15" style="81" bestFit="1" customWidth="1"/>
    <col min="3" max="3" width="6.625" style="201" customWidth="1"/>
    <col min="4" max="4" width="5.75" style="201" customWidth="1"/>
    <col min="5" max="6" width="8.25" style="192" customWidth="1"/>
    <col min="7" max="7" width="7.875" style="192" customWidth="1"/>
    <col min="8" max="10" width="7.5" style="202" customWidth="1"/>
    <col min="11" max="13" width="7.25" style="192" customWidth="1"/>
    <col min="14" max="14" width="8.125" style="192" customWidth="1"/>
    <col min="15" max="16" width="7.5" style="202" customWidth="1"/>
    <col min="17" max="17" width="4.875" style="202" customWidth="1"/>
    <col min="18" max="18" width="7.25" style="192" customWidth="1"/>
    <col min="19" max="22" width="7.125" style="81" customWidth="1"/>
    <col min="23" max="23" width="7.125" style="203" customWidth="1"/>
    <col min="24" max="38" width="7.125" style="81" customWidth="1"/>
    <col min="39" max="39" width="6.75" style="81" customWidth="1"/>
    <col min="40" max="40" width="5.75" style="81" customWidth="1"/>
    <col min="41" max="41" width="19.25" style="81" customWidth="1"/>
    <col min="42" max="42" width="9" style="81"/>
    <col min="43" max="16384" width="9" style="198"/>
  </cols>
  <sheetData>
    <row r="1" spans="1:70" s="184" customFormat="1">
      <c r="A1" s="212" t="s">
        <v>87</v>
      </c>
      <c r="B1" s="212" t="s">
        <v>88</v>
      </c>
      <c r="C1" s="213" t="s">
        <v>693</v>
      </c>
      <c r="D1" s="213" t="s">
        <v>228</v>
      </c>
      <c r="E1" s="214" t="s">
        <v>106</v>
      </c>
      <c r="F1" s="214" t="s">
        <v>107</v>
      </c>
      <c r="G1" s="214" t="s">
        <v>108</v>
      </c>
      <c r="H1" s="206" t="s">
        <v>91</v>
      </c>
      <c r="I1" s="206" t="s">
        <v>92</v>
      </c>
      <c r="J1" s="206" t="s">
        <v>239</v>
      </c>
      <c r="K1" s="214" t="s">
        <v>240</v>
      </c>
      <c r="L1" s="214" t="s">
        <v>109</v>
      </c>
      <c r="M1" s="214" t="s">
        <v>110</v>
      </c>
      <c r="N1" s="214" t="s">
        <v>111</v>
      </c>
      <c r="O1" s="206" t="s">
        <v>93</v>
      </c>
      <c r="P1" s="206" t="s">
        <v>94</v>
      </c>
      <c r="Q1" s="206" t="s">
        <v>241</v>
      </c>
      <c r="R1" s="214" t="s">
        <v>242</v>
      </c>
      <c r="S1" s="212" t="s">
        <v>594</v>
      </c>
      <c r="T1" s="212" t="s">
        <v>291</v>
      </c>
      <c r="U1" s="212" t="s">
        <v>650</v>
      </c>
      <c r="V1" s="212" t="s">
        <v>651</v>
      </c>
      <c r="W1" s="235" t="s">
        <v>95</v>
      </c>
      <c r="X1" s="236" t="s">
        <v>96</v>
      </c>
      <c r="Y1" s="236" t="s">
        <v>637</v>
      </c>
      <c r="Z1" s="236" t="s">
        <v>638</v>
      </c>
      <c r="AA1" s="212" t="s">
        <v>97</v>
      </c>
      <c r="AB1" s="212" t="s">
        <v>2</v>
      </c>
      <c r="AC1" s="212" t="s">
        <v>3</v>
      </c>
      <c r="AD1" s="212" t="s">
        <v>4</v>
      </c>
      <c r="AE1" s="212" t="s">
        <v>214</v>
      </c>
      <c r="AF1" s="236" t="s">
        <v>5</v>
      </c>
      <c r="AG1" s="212" t="s">
        <v>6</v>
      </c>
      <c r="AH1" s="212" t="s">
        <v>7</v>
      </c>
      <c r="AI1" s="212" t="s">
        <v>8</v>
      </c>
      <c r="AJ1" s="236" t="s">
        <v>9</v>
      </c>
      <c r="AK1" s="212" t="s">
        <v>10</v>
      </c>
      <c r="AL1" s="212" t="s">
        <v>11</v>
      </c>
      <c r="AM1" s="236" t="s">
        <v>12</v>
      </c>
      <c r="AN1" s="236" t="s">
        <v>98</v>
      </c>
      <c r="AO1" s="212" t="s">
        <v>105</v>
      </c>
      <c r="AP1" s="236" t="s">
        <v>190</v>
      </c>
      <c r="AQ1" s="184" t="s">
        <v>289</v>
      </c>
      <c r="AW1" s="184" t="s">
        <v>288</v>
      </c>
      <c r="BB1" s="184" t="s">
        <v>654</v>
      </c>
      <c r="BC1" s="184" t="s">
        <v>653</v>
      </c>
      <c r="BD1" s="184" t="s">
        <v>656</v>
      </c>
      <c r="BE1" s="184" t="s">
        <v>286</v>
      </c>
      <c r="BK1" s="184" t="s">
        <v>287</v>
      </c>
      <c r="BP1" s="184" t="s">
        <v>655</v>
      </c>
      <c r="BQ1" s="184" t="s">
        <v>657</v>
      </c>
      <c r="BR1" s="184" t="s">
        <v>658</v>
      </c>
    </row>
    <row r="2" spans="1:70" s="195" customFormat="1">
      <c r="A2" s="215"/>
      <c r="B2" s="215" t="s">
        <v>692</v>
      </c>
      <c r="C2" s="213"/>
      <c r="D2" s="213"/>
      <c r="E2" s="216"/>
      <c r="F2" s="216"/>
      <c r="G2" s="216"/>
      <c r="H2" s="207"/>
      <c r="I2" s="207"/>
      <c r="J2" s="207"/>
      <c r="K2" s="216"/>
      <c r="L2" s="216"/>
      <c r="M2" s="216"/>
      <c r="N2" s="216"/>
      <c r="O2" s="207"/>
      <c r="P2" s="207"/>
      <c r="Q2" s="207"/>
      <c r="R2" s="216"/>
      <c r="S2" s="217">
        <v>4</v>
      </c>
      <c r="T2" s="217">
        <v>3</v>
      </c>
      <c r="U2" s="217">
        <v>1</v>
      </c>
      <c r="V2" s="217">
        <v>3</v>
      </c>
      <c r="W2" s="237">
        <v>15</v>
      </c>
      <c r="X2" s="237">
        <v>15</v>
      </c>
      <c r="Y2" s="237">
        <v>5</v>
      </c>
      <c r="Z2" s="237">
        <v>5</v>
      </c>
      <c r="AA2" s="217">
        <v>10</v>
      </c>
      <c r="AB2" s="217">
        <v>8</v>
      </c>
      <c r="AC2" s="217">
        <v>4</v>
      </c>
      <c r="AD2" s="217">
        <v>5</v>
      </c>
      <c r="AE2" s="217">
        <v>2</v>
      </c>
      <c r="AF2" s="237">
        <v>7</v>
      </c>
      <c r="AG2" s="217">
        <v>4</v>
      </c>
      <c r="AH2" s="217">
        <v>2</v>
      </c>
      <c r="AI2" s="217">
        <v>6</v>
      </c>
      <c r="AJ2" s="237">
        <v>4</v>
      </c>
      <c r="AK2" s="217">
        <v>3</v>
      </c>
      <c r="AL2" s="217">
        <v>5</v>
      </c>
      <c r="AM2" s="237">
        <f t="shared" ref="AM2:AM28" si="0">SUM(W2:AL2)</f>
        <v>100</v>
      </c>
      <c r="AN2" s="242"/>
      <c r="AO2" s="215"/>
      <c r="AP2" s="242"/>
      <c r="AQ2" s="195">
        <v>1</v>
      </c>
      <c r="AR2" s="195">
        <v>2</v>
      </c>
      <c r="AS2" s="195">
        <v>3</v>
      </c>
      <c r="AT2" s="195">
        <v>4</v>
      </c>
      <c r="AU2" s="195">
        <v>5</v>
      </c>
      <c r="AV2" s="195" t="s">
        <v>613</v>
      </c>
      <c r="AW2" s="195">
        <v>1</v>
      </c>
      <c r="AX2" s="195">
        <v>2</v>
      </c>
      <c r="AY2" s="195">
        <v>3</v>
      </c>
      <c r="AZ2" s="195">
        <v>4</v>
      </c>
      <c r="BA2" s="195">
        <v>5</v>
      </c>
      <c r="BB2" s="195" t="s">
        <v>613</v>
      </c>
      <c r="BE2" s="195">
        <v>1</v>
      </c>
      <c r="BF2" s="195">
        <v>2</v>
      </c>
      <c r="BG2" s="195">
        <v>3</v>
      </c>
      <c r="BH2" s="195">
        <v>4</v>
      </c>
      <c r="BI2" s="195">
        <v>5</v>
      </c>
      <c r="BJ2" s="195" t="s">
        <v>613</v>
      </c>
      <c r="BK2" s="195">
        <v>1</v>
      </c>
      <c r="BL2" s="195">
        <v>2</v>
      </c>
      <c r="BM2" s="195">
        <v>3</v>
      </c>
      <c r="BN2" s="195">
        <v>4</v>
      </c>
      <c r="BO2" s="195">
        <v>5</v>
      </c>
      <c r="BP2" s="195" t="s">
        <v>613</v>
      </c>
    </row>
    <row r="3" spans="1:70">
      <c r="A3" s="218" t="s">
        <v>99</v>
      </c>
      <c r="B3" s="218" t="s">
        <v>607</v>
      </c>
      <c r="C3" s="219" t="s">
        <v>280</v>
      </c>
      <c r="D3" s="219">
        <v>4</v>
      </c>
      <c r="E3" s="220">
        <v>0.53472222222222221</v>
      </c>
      <c r="F3" s="220">
        <v>0.55232638888888885</v>
      </c>
      <c r="G3" s="220">
        <v>0.67881944444444453</v>
      </c>
      <c r="H3" s="208">
        <f t="shared" ref="H3:H27" si="1">F3-E3</f>
        <v>1.7604166666666643E-2</v>
      </c>
      <c r="I3" s="208">
        <f t="shared" ref="I3:I24" si="2">H3-MIN(H$3:H$24)</f>
        <v>5.33564814814802E-3</v>
      </c>
      <c r="J3" s="208">
        <f t="shared" ref="J3:J27" si="3">G3-E3</f>
        <v>0.14409722222222232</v>
      </c>
      <c r="K3" s="220">
        <v>0.14583333333333334</v>
      </c>
      <c r="L3" s="220">
        <v>0.30486111111111103</v>
      </c>
      <c r="M3" s="220">
        <v>0.32056712962962963</v>
      </c>
      <c r="N3" s="220"/>
      <c r="O3" s="208">
        <f t="shared" ref="O3:O27" si="4">M3-L3</f>
        <v>1.5706018518518605E-2</v>
      </c>
      <c r="P3" s="208">
        <f t="shared" ref="P3:P24" si="5">O3-MIN(O$3:O$24)</f>
        <v>2.8819444444445064E-3</v>
      </c>
      <c r="Q3" s="208">
        <f t="shared" ref="Q3:Q28" si="6">N3-L3</f>
        <v>-0.30486111111111103</v>
      </c>
      <c r="R3" s="220">
        <v>0.16666666666666666</v>
      </c>
      <c r="S3" s="221">
        <v>3</v>
      </c>
      <c r="T3" s="221">
        <v>0</v>
      </c>
      <c r="U3" s="221">
        <v>1</v>
      </c>
      <c r="V3" s="221">
        <v>1.8</v>
      </c>
      <c r="W3" s="238">
        <f t="shared" ref="W3:W28" si="7">ROUND(MAX(W$2-I3*60*24*0.5+BD3,0),1)</f>
        <v>11.2</v>
      </c>
      <c r="X3" s="238">
        <f t="shared" ref="X3:X28" si="8">ROUND(MAX(X$2-P3*60*24*0.5+BR3,0),1)</f>
        <v>12.9</v>
      </c>
      <c r="Y3" s="238">
        <f t="shared" ref="Y3:Y28" si="9">ROUND(MAX(MIN(Y$2+(K3-J3)*60*24*0.2,$Y$2),0),1)</f>
        <v>5</v>
      </c>
      <c r="Z3" s="238">
        <f t="shared" ref="Z3:Z28" si="10">ROUND(MAX(MIN($Z$2+(R3-Q3)*60*24*0.2,$Z$2),0),1)</f>
        <v>5</v>
      </c>
      <c r="AA3" s="221">
        <v>10</v>
      </c>
      <c r="AB3" s="221">
        <v>8</v>
      </c>
      <c r="AC3" s="221">
        <v>3.8</v>
      </c>
      <c r="AD3" s="221">
        <v>3.7</v>
      </c>
      <c r="AE3" s="221">
        <v>1.4</v>
      </c>
      <c r="AF3" s="238">
        <f t="shared" ref="AF3:AF28" si="11">SUM(S3:T3)</f>
        <v>3</v>
      </c>
      <c r="AG3" s="221">
        <v>2.8</v>
      </c>
      <c r="AH3" s="221">
        <v>1.2</v>
      </c>
      <c r="AI3" s="221">
        <v>5.6</v>
      </c>
      <c r="AJ3" s="238">
        <f t="shared" ref="AJ3:AJ28" si="12">SUM(U3:V3)</f>
        <v>2.8</v>
      </c>
      <c r="AK3" s="221">
        <v>3</v>
      </c>
      <c r="AL3" s="221">
        <v>5</v>
      </c>
      <c r="AM3" s="238">
        <f t="shared" si="0"/>
        <v>84.399999999999991</v>
      </c>
      <c r="AN3" s="243">
        <f t="shared" ref="AN3:AN9" si="13">RANK(AM3,$AM$3:$AM$9)</f>
        <v>4</v>
      </c>
      <c r="AO3" s="218"/>
      <c r="AP3" s="243">
        <f t="shared" ref="AP3:AP9" si="14">RANK(I3,$I$3:$I$9,1)</f>
        <v>5</v>
      </c>
      <c r="AQ3" s="196">
        <v>12.9</v>
      </c>
      <c r="AR3" s="196">
        <v>10.95</v>
      </c>
      <c r="AS3" s="196">
        <v>11.25</v>
      </c>
      <c r="AT3" s="196">
        <v>13.3</v>
      </c>
      <c r="AU3" s="196"/>
      <c r="AV3" s="197">
        <f>AVERAGE(AQ3:AU3)</f>
        <v>12.100000000000001</v>
      </c>
      <c r="AW3" s="196">
        <v>12.8</v>
      </c>
      <c r="AX3" s="196">
        <v>11</v>
      </c>
      <c r="AY3" s="196">
        <v>13.25</v>
      </c>
      <c r="AZ3" s="196">
        <v>11.3</v>
      </c>
      <c r="BB3" s="199">
        <f>AVERAGE(AW3:AZ3)</f>
        <v>12.087499999999999</v>
      </c>
      <c r="BC3" s="200">
        <v>12</v>
      </c>
      <c r="BD3" s="200">
        <f>IF(ISERR(BB3),0,IF(BB3&lt;BC3,BB3-BC3,0))</f>
        <v>0</v>
      </c>
      <c r="BE3" s="196">
        <v>9.85</v>
      </c>
      <c r="BF3" s="196">
        <v>10.25</v>
      </c>
      <c r="BG3" s="196">
        <v>12.45</v>
      </c>
      <c r="BH3" s="196">
        <v>11.9</v>
      </c>
      <c r="BJ3" s="199">
        <f t="shared" ref="BJ3:BJ14" si="15">AVERAGE(BE3:BH3)</f>
        <v>11.112499999999999</v>
      </c>
      <c r="BK3" s="196">
        <v>13.2</v>
      </c>
      <c r="BL3" s="196">
        <v>10.4</v>
      </c>
      <c r="BM3" s="196">
        <v>10</v>
      </c>
      <c r="BN3" s="196">
        <v>12</v>
      </c>
      <c r="BO3" s="196"/>
      <c r="BP3" s="199">
        <f t="shared" ref="BP3:BP27" si="16">AVERAGE(BK3:BN3)</f>
        <v>11.4</v>
      </c>
      <c r="BQ3" s="200">
        <v>11</v>
      </c>
      <c r="BR3" s="200">
        <f>IF(ISERR(BP3),0,IF(BP3&lt;BQ3,BP3-BQ3,0))</f>
        <v>0</v>
      </c>
    </row>
    <row r="4" spans="1:70">
      <c r="A4" s="218" t="s">
        <v>99</v>
      </c>
      <c r="B4" s="222" t="s">
        <v>179</v>
      </c>
      <c r="C4" s="219" t="s">
        <v>660</v>
      </c>
      <c r="D4" s="219">
        <v>4</v>
      </c>
      <c r="E4" s="220">
        <v>0.53541666666666665</v>
      </c>
      <c r="F4" s="220">
        <v>0.55081018518518521</v>
      </c>
      <c r="G4" s="220">
        <v>0.6582986111111111</v>
      </c>
      <c r="H4" s="208">
        <f>F4-E4</f>
        <v>1.5393518518518556E-2</v>
      </c>
      <c r="I4" s="208">
        <f t="shared" si="2"/>
        <v>3.1249999999999334E-3</v>
      </c>
      <c r="J4" s="208">
        <f t="shared" si="3"/>
        <v>0.12288194444444445</v>
      </c>
      <c r="K4" s="220">
        <v>0.14583333333333334</v>
      </c>
      <c r="L4" s="220">
        <v>0.30347222222222198</v>
      </c>
      <c r="M4" s="220">
        <v>0.31972222222222224</v>
      </c>
      <c r="N4" s="220"/>
      <c r="O4" s="208">
        <f t="shared" si="4"/>
        <v>1.6250000000000264E-2</v>
      </c>
      <c r="P4" s="208">
        <f t="shared" si="5"/>
        <v>3.4259259259261654E-3</v>
      </c>
      <c r="Q4" s="208">
        <f t="shared" si="6"/>
        <v>-0.30347222222222198</v>
      </c>
      <c r="R4" s="220">
        <v>0.16666666666666666</v>
      </c>
      <c r="S4" s="221">
        <v>3.5</v>
      </c>
      <c r="T4" s="221">
        <v>0</v>
      </c>
      <c r="U4" s="221">
        <v>0.5</v>
      </c>
      <c r="V4" s="221">
        <v>1.5</v>
      </c>
      <c r="W4" s="238">
        <f t="shared" si="7"/>
        <v>12.8</v>
      </c>
      <c r="X4" s="238">
        <f t="shared" si="8"/>
        <v>12.5</v>
      </c>
      <c r="Y4" s="238">
        <f t="shared" si="9"/>
        <v>5</v>
      </c>
      <c r="Z4" s="238">
        <f t="shared" si="10"/>
        <v>5</v>
      </c>
      <c r="AA4" s="221">
        <v>7.2</v>
      </c>
      <c r="AB4" s="221">
        <v>6.9</v>
      </c>
      <c r="AC4" s="221">
        <v>4</v>
      </c>
      <c r="AD4" s="221">
        <v>3.1</v>
      </c>
      <c r="AE4" s="221">
        <v>1.3</v>
      </c>
      <c r="AF4" s="238">
        <f t="shared" si="11"/>
        <v>3.5</v>
      </c>
      <c r="AG4" s="221">
        <v>3</v>
      </c>
      <c r="AH4" s="221">
        <v>1.2</v>
      </c>
      <c r="AI4" s="221">
        <v>5.7</v>
      </c>
      <c r="AJ4" s="238">
        <f t="shared" si="12"/>
        <v>2</v>
      </c>
      <c r="AK4" s="221">
        <v>3</v>
      </c>
      <c r="AL4" s="221">
        <v>5</v>
      </c>
      <c r="AM4" s="238">
        <f t="shared" si="0"/>
        <v>81.2</v>
      </c>
      <c r="AN4" s="243">
        <f t="shared" si="13"/>
        <v>5</v>
      </c>
      <c r="AO4" s="218"/>
      <c r="AP4" s="243">
        <f t="shared" si="14"/>
        <v>3</v>
      </c>
      <c r="AQ4" s="196">
        <v>12.15</v>
      </c>
      <c r="AR4" s="196">
        <v>12.15</v>
      </c>
      <c r="AS4" s="196">
        <v>15.15</v>
      </c>
      <c r="AT4" s="196">
        <v>13.55</v>
      </c>
      <c r="AU4" s="196"/>
      <c r="AV4" s="197">
        <f t="shared" ref="AV4:AV27" si="17">AVERAGE(AQ4:AU4)</f>
        <v>13.25</v>
      </c>
      <c r="AW4" s="196">
        <v>12.1</v>
      </c>
      <c r="AX4" s="196">
        <v>12</v>
      </c>
      <c r="AY4" s="196">
        <v>15.1</v>
      </c>
      <c r="AZ4" s="196">
        <v>13.45</v>
      </c>
      <c r="BB4" s="199">
        <f>AVERAGE(AW4:AZ4)</f>
        <v>13.162500000000001</v>
      </c>
      <c r="BC4" s="200">
        <v>12</v>
      </c>
      <c r="BD4" s="200">
        <f t="shared" ref="BD4:BD28" si="18">IF(ISERR(BB4),0,IF(BB4&lt;BC4,BB4-BC4,0))</f>
        <v>0</v>
      </c>
      <c r="BE4" s="196">
        <v>10.8</v>
      </c>
      <c r="BF4" s="196">
        <v>10.7</v>
      </c>
      <c r="BG4" s="196">
        <v>13.1</v>
      </c>
      <c r="BH4" s="196">
        <v>12.35</v>
      </c>
      <c r="BJ4" s="199">
        <f t="shared" si="15"/>
        <v>11.737500000000001</v>
      </c>
      <c r="BK4" s="196">
        <v>13.2</v>
      </c>
      <c r="BL4" s="196">
        <v>11</v>
      </c>
      <c r="BM4" s="196">
        <v>11</v>
      </c>
      <c r="BN4" s="196">
        <v>12.6</v>
      </c>
      <c r="BO4" s="196"/>
      <c r="BP4" s="199">
        <f t="shared" si="16"/>
        <v>11.950000000000001</v>
      </c>
      <c r="BQ4" s="200">
        <v>11</v>
      </c>
      <c r="BR4" s="200">
        <f t="shared" ref="BR4:BR28" si="19">IF(ISERR(BP4),0,IF(BP4&lt;BQ4,BP4-BQ4,0))</f>
        <v>0</v>
      </c>
    </row>
    <row r="5" spans="1:70">
      <c r="A5" s="218" t="s">
        <v>99</v>
      </c>
      <c r="B5" s="218" t="s">
        <v>126</v>
      </c>
      <c r="C5" s="219" t="s">
        <v>661</v>
      </c>
      <c r="D5" s="219">
        <v>4</v>
      </c>
      <c r="E5" s="220">
        <v>0.53611111111111098</v>
      </c>
      <c r="F5" s="220">
        <v>0.54837962962962961</v>
      </c>
      <c r="G5" s="220">
        <v>0.6702893518518519</v>
      </c>
      <c r="H5" s="208">
        <f>F5-E5</f>
        <v>1.2268518518518623E-2</v>
      </c>
      <c r="I5" s="208">
        <f t="shared" si="2"/>
        <v>0</v>
      </c>
      <c r="J5" s="208">
        <f t="shared" si="3"/>
        <v>0.13417824074074092</v>
      </c>
      <c r="K5" s="220">
        <v>0.14583333333333334</v>
      </c>
      <c r="L5" s="220">
        <v>0.30208333333333331</v>
      </c>
      <c r="M5" s="220">
        <v>0.31490740740740741</v>
      </c>
      <c r="N5" s="220"/>
      <c r="O5" s="208">
        <f t="shared" si="4"/>
        <v>1.2824074074074099E-2</v>
      </c>
      <c r="P5" s="208">
        <f t="shared" si="5"/>
        <v>0</v>
      </c>
      <c r="Q5" s="208">
        <f t="shared" si="6"/>
        <v>-0.30208333333333331</v>
      </c>
      <c r="R5" s="220">
        <v>0.16666666666666666</v>
      </c>
      <c r="S5" s="221">
        <v>4</v>
      </c>
      <c r="T5" s="221">
        <v>3</v>
      </c>
      <c r="U5" s="221">
        <v>1</v>
      </c>
      <c r="V5" s="221">
        <v>3</v>
      </c>
      <c r="W5" s="238">
        <f t="shared" si="7"/>
        <v>15</v>
      </c>
      <c r="X5" s="238">
        <f t="shared" si="8"/>
        <v>15</v>
      </c>
      <c r="Y5" s="238">
        <f t="shared" si="9"/>
        <v>5</v>
      </c>
      <c r="Z5" s="238">
        <f t="shared" si="10"/>
        <v>5</v>
      </c>
      <c r="AA5" s="221">
        <v>10</v>
      </c>
      <c r="AB5" s="221">
        <v>8</v>
      </c>
      <c r="AC5" s="221">
        <v>4</v>
      </c>
      <c r="AD5" s="221">
        <v>4.9000000000000004</v>
      </c>
      <c r="AE5" s="221">
        <v>1.9</v>
      </c>
      <c r="AF5" s="238">
        <f t="shared" si="11"/>
        <v>7</v>
      </c>
      <c r="AG5" s="221">
        <v>4</v>
      </c>
      <c r="AH5" s="221">
        <v>1.8</v>
      </c>
      <c r="AI5" s="221">
        <v>6</v>
      </c>
      <c r="AJ5" s="238">
        <f t="shared" si="12"/>
        <v>4</v>
      </c>
      <c r="AK5" s="221">
        <v>3</v>
      </c>
      <c r="AL5" s="221">
        <v>5</v>
      </c>
      <c r="AM5" s="238">
        <f t="shared" si="0"/>
        <v>99.600000000000009</v>
      </c>
      <c r="AN5" s="243">
        <f t="shared" si="13"/>
        <v>1</v>
      </c>
      <c r="AO5" s="218"/>
      <c r="AP5" s="243">
        <f t="shared" si="14"/>
        <v>1</v>
      </c>
      <c r="AQ5" s="196">
        <v>12.55</v>
      </c>
      <c r="AR5" s="196">
        <v>12.4</v>
      </c>
      <c r="AS5" s="196">
        <v>10.5</v>
      </c>
      <c r="AT5" s="196">
        <v>13</v>
      </c>
      <c r="AU5" s="196"/>
      <c r="AV5" s="197">
        <f t="shared" si="17"/>
        <v>12.112500000000001</v>
      </c>
      <c r="AW5" s="196">
        <v>12.65</v>
      </c>
      <c r="AX5" s="196">
        <v>12.25</v>
      </c>
      <c r="AY5" s="196">
        <v>10.55</v>
      </c>
      <c r="AZ5" s="196">
        <v>13</v>
      </c>
      <c r="BB5" s="199">
        <f>AVERAGE(AW5:AZ5)</f>
        <v>12.112500000000001</v>
      </c>
      <c r="BC5" s="200">
        <v>12</v>
      </c>
      <c r="BD5" s="200">
        <f t="shared" si="18"/>
        <v>0</v>
      </c>
      <c r="BE5" s="196">
        <v>12.2</v>
      </c>
      <c r="BF5" s="196">
        <v>11.3</v>
      </c>
      <c r="BG5" s="196">
        <v>9.4499999999999993</v>
      </c>
      <c r="BH5" s="196">
        <v>12.05</v>
      </c>
      <c r="BJ5" s="199">
        <f t="shared" si="15"/>
        <v>11.25</v>
      </c>
      <c r="BK5" s="196">
        <v>12</v>
      </c>
      <c r="BL5" s="196">
        <v>11.6</v>
      </c>
      <c r="BM5" s="196">
        <v>9.4</v>
      </c>
      <c r="BN5" s="196">
        <v>12.8</v>
      </c>
      <c r="BO5" s="196"/>
      <c r="BP5" s="199">
        <f t="shared" si="16"/>
        <v>11.45</v>
      </c>
      <c r="BQ5" s="200">
        <v>11</v>
      </c>
      <c r="BR5" s="200">
        <f t="shared" si="19"/>
        <v>0</v>
      </c>
    </row>
    <row r="6" spans="1:70">
      <c r="A6" s="218" t="s">
        <v>99</v>
      </c>
      <c r="B6" s="222" t="s">
        <v>182</v>
      </c>
      <c r="C6" s="219" t="s">
        <v>662</v>
      </c>
      <c r="D6" s="219">
        <v>4</v>
      </c>
      <c r="E6" s="220">
        <v>0.53680555555555598</v>
      </c>
      <c r="F6" s="220">
        <v>0.56268518518518518</v>
      </c>
      <c r="G6" s="220">
        <v>0.67891203703703706</v>
      </c>
      <c r="H6" s="208">
        <f t="shared" si="1"/>
        <v>2.5879629629629197E-2</v>
      </c>
      <c r="I6" s="208">
        <f t="shared" si="2"/>
        <v>1.3611111111110574E-2</v>
      </c>
      <c r="J6" s="208">
        <f t="shared" si="3"/>
        <v>0.14210648148148108</v>
      </c>
      <c r="K6" s="220">
        <v>0.14583333333333334</v>
      </c>
      <c r="L6" s="220">
        <v>0.30625000000000002</v>
      </c>
      <c r="M6" s="220">
        <v>0.32703703703703701</v>
      </c>
      <c r="N6" s="220"/>
      <c r="O6" s="208">
        <f t="shared" si="4"/>
        <v>2.0787037037036993E-2</v>
      </c>
      <c r="P6" s="208">
        <f t="shared" si="5"/>
        <v>7.962962962962894E-3</v>
      </c>
      <c r="Q6" s="208">
        <f t="shared" si="6"/>
        <v>-0.30625000000000002</v>
      </c>
      <c r="R6" s="220">
        <v>0.16666666666666666</v>
      </c>
      <c r="S6" s="221">
        <v>2</v>
      </c>
      <c r="T6" s="221">
        <v>1</v>
      </c>
      <c r="U6" s="221">
        <v>1</v>
      </c>
      <c r="V6" s="221">
        <v>2.2999999999999998</v>
      </c>
      <c r="W6" s="238">
        <f t="shared" si="7"/>
        <v>5.2</v>
      </c>
      <c r="X6" s="238">
        <f t="shared" si="8"/>
        <v>9.3000000000000007</v>
      </c>
      <c r="Y6" s="238">
        <f t="shared" si="9"/>
        <v>5</v>
      </c>
      <c r="Z6" s="238">
        <f t="shared" si="10"/>
        <v>5</v>
      </c>
      <c r="AA6" s="221">
        <v>8.3000000000000007</v>
      </c>
      <c r="AB6" s="221">
        <v>8</v>
      </c>
      <c r="AC6" s="221">
        <v>4</v>
      </c>
      <c r="AD6" s="221">
        <v>4</v>
      </c>
      <c r="AE6" s="221">
        <v>1.5</v>
      </c>
      <c r="AF6" s="238">
        <f t="shared" si="11"/>
        <v>3</v>
      </c>
      <c r="AG6" s="221">
        <v>3</v>
      </c>
      <c r="AH6" s="221">
        <v>2</v>
      </c>
      <c r="AI6" s="221">
        <v>5.5</v>
      </c>
      <c r="AJ6" s="238">
        <f t="shared" si="12"/>
        <v>3.3</v>
      </c>
      <c r="AK6" s="221">
        <v>2.5</v>
      </c>
      <c r="AL6" s="221">
        <v>5</v>
      </c>
      <c r="AM6" s="238">
        <f t="shared" si="0"/>
        <v>74.599999999999994</v>
      </c>
      <c r="AN6" s="243">
        <f t="shared" si="13"/>
        <v>7</v>
      </c>
      <c r="AO6" s="218"/>
      <c r="AP6" s="243">
        <f t="shared" si="14"/>
        <v>7</v>
      </c>
      <c r="AQ6" s="196">
        <v>16.05</v>
      </c>
      <c r="AR6" s="196">
        <v>16.2</v>
      </c>
      <c r="AS6" s="196">
        <v>16.3</v>
      </c>
      <c r="AT6" s="196">
        <v>16.350000000000001</v>
      </c>
      <c r="AU6" s="196"/>
      <c r="AV6" s="197">
        <f t="shared" si="17"/>
        <v>16.225000000000001</v>
      </c>
      <c r="AW6" s="196">
        <v>15.7</v>
      </c>
      <c r="AX6" s="196">
        <v>15.75</v>
      </c>
      <c r="AY6" s="196">
        <v>15.8</v>
      </c>
      <c r="AZ6" s="196">
        <v>15.6</v>
      </c>
      <c r="BB6" s="199">
        <f>AVERAGE(AW6:BA6)</f>
        <v>15.7125</v>
      </c>
      <c r="BC6" s="200">
        <v>12</v>
      </c>
      <c r="BD6" s="200">
        <f t="shared" si="18"/>
        <v>0</v>
      </c>
      <c r="BE6" s="196">
        <v>15.6</v>
      </c>
      <c r="BF6" s="196">
        <v>12.85</v>
      </c>
      <c r="BG6" s="196">
        <v>13.25</v>
      </c>
      <c r="BH6" s="196">
        <v>14.7</v>
      </c>
      <c r="BJ6" s="199">
        <f t="shared" si="15"/>
        <v>14.100000000000001</v>
      </c>
      <c r="BK6" s="196">
        <v>13.8</v>
      </c>
      <c r="BL6" s="196">
        <v>13.8</v>
      </c>
      <c r="BM6" s="196">
        <v>15</v>
      </c>
      <c r="BN6" s="196">
        <v>12.6</v>
      </c>
      <c r="BO6" s="196"/>
      <c r="BP6" s="199">
        <f t="shared" si="16"/>
        <v>13.8</v>
      </c>
      <c r="BQ6" s="200">
        <v>11</v>
      </c>
      <c r="BR6" s="200">
        <f t="shared" si="19"/>
        <v>0</v>
      </c>
    </row>
    <row r="7" spans="1:70">
      <c r="A7" s="218" t="s">
        <v>99</v>
      </c>
      <c r="B7" s="218" t="s">
        <v>123</v>
      </c>
      <c r="C7" s="219" t="s">
        <v>663</v>
      </c>
      <c r="D7" s="219">
        <v>4</v>
      </c>
      <c r="E7" s="220">
        <v>0.53749999999999998</v>
      </c>
      <c r="F7" s="220">
        <v>0.54989583333333336</v>
      </c>
      <c r="G7" s="220">
        <v>0.67282407407407396</v>
      </c>
      <c r="H7" s="208">
        <f t="shared" si="1"/>
        <v>1.2395833333333384E-2</v>
      </c>
      <c r="I7" s="208">
        <f t="shared" si="2"/>
        <v>1.273148148147607E-4</v>
      </c>
      <c r="J7" s="208">
        <f t="shared" si="3"/>
        <v>0.13532407407407399</v>
      </c>
      <c r="K7" s="220">
        <v>0.14583333333333334</v>
      </c>
      <c r="L7" s="220">
        <v>0.30277777777777776</v>
      </c>
      <c r="M7" s="220">
        <v>0.31577546296296294</v>
      </c>
      <c r="N7" s="220"/>
      <c r="O7" s="208">
        <f t="shared" si="4"/>
        <v>1.2997685185185182E-2</v>
      </c>
      <c r="P7" s="208">
        <f t="shared" si="5"/>
        <v>1.7361111111108274E-4</v>
      </c>
      <c r="Q7" s="208">
        <f t="shared" si="6"/>
        <v>-0.30277777777777776</v>
      </c>
      <c r="R7" s="220">
        <v>0.16666666666666666</v>
      </c>
      <c r="S7" s="221">
        <v>3</v>
      </c>
      <c r="T7" s="221">
        <v>3</v>
      </c>
      <c r="U7" s="221">
        <v>1</v>
      </c>
      <c r="V7" s="221">
        <v>2.9</v>
      </c>
      <c r="W7" s="238">
        <f t="shared" si="7"/>
        <v>14.9</v>
      </c>
      <c r="X7" s="238">
        <f t="shared" si="8"/>
        <v>14.9</v>
      </c>
      <c r="Y7" s="238">
        <f t="shared" si="9"/>
        <v>5</v>
      </c>
      <c r="Z7" s="238">
        <f t="shared" si="10"/>
        <v>5</v>
      </c>
      <c r="AA7" s="221">
        <v>10</v>
      </c>
      <c r="AB7" s="221">
        <v>8</v>
      </c>
      <c r="AC7" s="221">
        <v>4</v>
      </c>
      <c r="AD7" s="221">
        <v>3.4</v>
      </c>
      <c r="AE7" s="221">
        <v>1.4</v>
      </c>
      <c r="AF7" s="238">
        <f t="shared" si="11"/>
        <v>6</v>
      </c>
      <c r="AG7" s="221">
        <v>3.6</v>
      </c>
      <c r="AH7" s="221">
        <v>2</v>
      </c>
      <c r="AI7" s="221">
        <v>6</v>
      </c>
      <c r="AJ7" s="238">
        <f t="shared" si="12"/>
        <v>3.9</v>
      </c>
      <c r="AK7" s="221">
        <v>3</v>
      </c>
      <c r="AL7" s="221">
        <v>5</v>
      </c>
      <c r="AM7" s="238">
        <f t="shared" si="0"/>
        <v>96.100000000000009</v>
      </c>
      <c r="AN7" s="243">
        <f t="shared" si="13"/>
        <v>2</v>
      </c>
      <c r="AO7" s="218"/>
      <c r="AP7" s="243">
        <f t="shared" si="14"/>
        <v>2</v>
      </c>
      <c r="AQ7" s="196">
        <v>14.25</v>
      </c>
      <c r="AR7" s="196">
        <v>13.95</v>
      </c>
      <c r="AS7" s="196">
        <v>12.55</v>
      </c>
      <c r="AT7" s="196">
        <v>12.75</v>
      </c>
      <c r="AU7" s="196"/>
      <c r="AV7" s="197">
        <f t="shared" si="17"/>
        <v>13.375</v>
      </c>
      <c r="AW7" s="196">
        <v>14.25</v>
      </c>
      <c r="AX7" s="196">
        <v>12.6</v>
      </c>
      <c r="AY7" s="196">
        <v>12.35</v>
      </c>
      <c r="AZ7" s="196">
        <v>13.7</v>
      </c>
      <c r="BB7" s="199">
        <f t="shared" ref="BB7:BB28" si="20">AVERAGE(AW7:BA7)</f>
        <v>13.225000000000001</v>
      </c>
      <c r="BC7" s="200">
        <v>12</v>
      </c>
      <c r="BD7" s="200">
        <f t="shared" si="18"/>
        <v>0</v>
      </c>
      <c r="BE7" s="196">
        <v>11.65</v>
      </c>
      <c r="BF7" s="196">
        <v>11.2</v>
      </c>
      <c r="BG7" s="196">
        <v>10.4</v>
      </c>
      <c r="BH7" s="196">
        <v>12.5</v>
      </c>
      <c r="BJ7" s="199">
        <f t="shared" si="15"/>
        <v>11.4375</v>
      </c>
      <c r="BK7" s="196">
        <v>12</v>
      </c>
      <c r="BL7" s="196">
        <v>11.8</v>
      </c>
      <c r="BM7" s="196">
        <v>12.6</v>
      </c>
      <c r="BN7" s="196">
        <v>10.6</v>
      </c>
      <c r="BO7" s="196"/>
      <c r="BP7" s="199">
        <f>AVERAGE(BK7:BO7)</f>
        <v>11.75</v>
      </c>
      <c r="BQ7" s="200">
        <v>11</v>
      </c>
      <c r="BR7" s="200">
        <f t="shared" si="19"/>
        <v>0</v>
      </c>
    </row>
    <row r="8" spans="1:70">
      <c r="A8" s="218" t="s">
        <v>99</v>
      </c>
      <c r="B8" s="218" t="s">
        <v>213</v>
      </c>
      <c r="C8" s="219" t="s">
        <v>664</v>
      </c>
      <c r="D8" s="219">
        <v>4</v>
      </c>
      <c r="E8" s="220">
        <v>0.53819444444444398</v>
      </c>
      <c r="F8" s="220">
        <v>0.55608796296296303</v>
      </c>
      <c r="G8" s="220">
        <v>0.67523148148148149</v>
      </c>
      <c r="H8" s="208">
        <f>F8-E8</f>
        <v>1.7893518518519058E-2</v>
      </c>
      <c r="I8" s="208">
        <f t="shared" si="2"/>
        <v>5.6250000000004352E-3</v>
      </c>
      <c r="J8" s="208">
        <f>G8-E8</f>
        <v>0.13703703703703751</v>
      </c>
      <c r="K8" s="220">
        <v>0.14583333333333334</v>
      </c>
      <c r="L8" s="220">
        <v>0.30555555555555602</v>
      </c>
      <c r="M8" s="220">
        <v>0.32324074074074077</v>
      </c>
      <c r="N8" s="220"/>
      <c r="O8" s="208">
        <f>M8-L8</f>
        <v>1.7685185185184749E-2</v>
      </c>
      <c r="P8" s="208">
        <f t="shared" si="5"/>
        <v>4.8611111111106498E-3</v>
      </c>
      <c r="Q8" s="208">
        <f>N8-L8</f>
        <v>-0.30555555555555602</v>
      </c>
      <c r="R8" s="220">
        <v>0.16666666666666666</v>
      </c>
      <c r="S8" s="221">
        <v>0.5</v>
      </c>
      <c r="T8" s="221">
        <v>1</v>
      </c>
      <c r="U8" s="221">
        <v>1</v>
      </c>
      <c r="V8" s="221">
        <v>1.2</v>
      </c>
      <c r="W8" s="238">
        <f t="shared" si="7"/>
        <v>10.9</v>
      </c>
      <c r="X8" s="238">
        <f t="shared" si="8"/>
        <v>11.5</v>
      </c>
      <c r="Y8" s="238">
        <f>ROUND(MAX(MIN(Y$2+(K8-J8)*60*24*0.2,$Y$2),0),1)</f>
        <v>5</v>
      </c>
      <c r="Z8" s="238">
        <f>ROUND(MAX(MIN($Z$2+(R8-Q8)*60*24*0.2,$Z$2),0),1)</f>
        <v>5</v>
      </c>
      <c r="AA8" s="221">
        <v>8.5</v>
      </c>
      <c r="AB8" s="221">
        <v>7.6</v>
      </c>
      <c r="AC8" s="221">
        <v>3.2</v>
      </c>
      <c r="AD8" s="221">
        <v>0.7</v>
      </c>
      <c r="AE8" s="221">
        <v>1.2</v>
      </c>
      <c r="AF8" s="238">
        <f t="shared" si="11"/>
        <v>1.5</v>
      </c>
      <c r="AG8" s="221">
        <v>3.4</v>
      </c>
      <c r="AH8" s="221">
        <v>1.8</v>
      </c>
      <c r="AI8" s="221">
        <v>5.0999999999999996</v>
      </c>
      <c r="AJ8" s="238">
        <f t="shared" si="12"/>
        <v>2.2000000000000002</v>
      </c>
      <c r="AK8" s="221">
        <v>3</v>
      </c>
      <c r="AL8" s="221">
        <v>5</v>
      </c>
      <c r="AM8" s="238">
        <f t="shared" si="0"/>
        <v>75.600000000000009</v>
      </c>
      <c r="AN8" s="243">
        <f>RANK(AM8,$AM$3:$AM$9)</f>
        <v>6</v>
      </c>
      <c r="AO8" s="218"/>
      <c r="AP8" s="243">
        <f>RANK(I8,$I$3:$I$9,1)</f>
        <v>6</v>
      </c>
      <c r="AQ8" s="196">
        <v>14.25</v>
      </c>
      <c r="AR8" s="196">
        <v>13.95</v>
      </c>
      <c r="AS8" s="196">
        <v>12.55</v>
      </c>
      <c r="AT8" s="196">
        <v>12.75</v>
      </c>
      <c r="AU8" s="196"/>
      <c r="AV8" s="197">
        <f>AVERAGE(AQ8:AU8)</f>
        <v>13.375</v>
      </c>
      <c r="AW8" s="196">
        <v>14.25</v>
      </c>
      <c r="AX8" s="196">
        <v>12.6</v>
      </c>
      <c r="AY8" s="196">
        <v>12.35</v>
      </c>
      <c r="AZ8" s="196">
        <v>13.7</v>
      </c>
      <c r="BB8" s="199">
        <f>AVERAGE(AW8:BA8)</f>
        <v>13.225000000000001</v>
      </c>
      <c r="BC8" s="200">
        <v>12</v>
      </c>
      <c r="BD8" s="200">
        <f>IF(ISERR(BB8),0,IF(BB8&lt;BC8,BB8-BC8,0))</f>
        <v>0</v>
      </c>
      <c r="BE8" s="196">
        <v>11.65</v>
      </c>
      <c r="BF8" s="196">
        <v>11.2</v>
      </c>
      <c r="BG8" s="196">
        <v>10.4</v>
      </c>
      <c r="BH8" s="196">
        <v>12.5</v>
      </c>
      <c r="BJ8" s="199">
        <f>AVERAGE(BE8:BH8)</f>
        <v>11.4375</v>
      </c>
      <c r="BK8" s="196">
        <v>12</v>
      </c>
      <c r="BL8" s="196">
        <v>11.8</v>
      </c>
      <c r="BM8" s="196">
        <v>12.6</v>
      </c>
      <c r="BN8" s="196">
        <v>10.6</v>
      </c>
      <c r="BO8" s="196"/>
      <c r="BP8" s="199">
        <f>AVERAGE(BK8:BO8)</f>
        <v>11.75</v>
      </c>
      <c r="BQ8" s="200">
        <v>11</v>
      </c>
      <c r="BR8" s="200">
        <f>IF(ISERR(BP8),0,IF(BP8&lt;BQ8,BP8-BQ8,0))</f>
        <v>0</v>
      </c>
    </row>
    <row r="9" spans="1:70" ht="14.25" thickBot="1">
      <c r="A9" s="223" t="s">
        <v>99</v>
      </c>
      <c r="B9" s="223" t="s">
        <v>641</v>
      </c>
      <c r="C9" s="224" t="s">
        <v>665</v>
      </c>
      <c r="D9" s="224">
        <v>4</v>
      </c>
      <c r="E9" s="225">
        <v>0.53888888888888897</v>
      </c>
      <c r="F9" s="225">
        <v>0.55511574074074077</v>
      </c>
      <c r="G9" s="225">
        <v>0.67403935185185182</v>
      </c>
      <c r="H9" s="209">
        <f>F9-E9</f>
        <v>1.6226851851851798E-2</v>
      </c>
      <c r="I9" s="209">
        <f t="shared" si="2"/>
        <v>3.9583333333331749E-3</v>
      </c>
      <c r="J9" s="209">
        <f t="shared" si="3"/>
        <v>0.13515046296296285</v>
      </c>
      <c r="K9" s="225">
        <v>0.14583333333333334</v>
      </c>
      <c r="L9" s="225">
        <v>0.30416666666666697</v>
      </c>
      <c r="M9" s="225">
        <v>0.31935185185185183</v>
      </c>
      <c r="N9" s="225"/>
      <c r="O9" s="209">
        <f>M9-L9</f>
        <v>1.5185185185184857E-2</v>
      </c>
      <c r="P9" s="209">
        <f t="shared" si="5"/>
        <v>2.3611111111107586E-3</v>
      </c>
      <c r="Q9" s="209">
        <f t="shared" si="6"/>
        <v>-0.30416666666666697</v>
      </c>
      <c r="R9" s="225">
        <v>0.16666666666666666</v>
      </c>
      <c r="S9" s="226">
        <v>2</v>
      </c>
      <c r="T9" s="226">
        <v>0</v>
      </c>
      <c r="U9" s="226">
        <v>1</v>
      </c>
      <c r="V9" s="226">
        <v>1.8</v>
      </c>
      <c r="W9" s="239">
        <f t="shared" si="7"/>
        <v>12.2</v>
      </c>
      <c r="X9" s="239">
        <f t="shared" si="8"/>
        <v>13.3</v>
      </c>
      <c r="Y9" s="239">
        <f t="shared" si="9"/>
        <v>5</v>
      </c>
      <c r="Z9" s="239">
        <f t="shared" si="10"/>
        <v>5</v>
      </c>
      <c r="AA9" s="226">
        <v>10</v>
      </c>
      <c r="AB9" s="226">
        <v>7.6</v>
      </c>
      <c r="AC9" s="226">
        <v>3.8</v>
      </c>
      <c r="AD9" s="226">
        <v>3</v>
      </c>
      <c r="AE9" s="226">
        <v>1.6</v>
      </c>
      <c r="AF9" s="239">
        <f t="shared" si="11"/>
        <v>2</v>
      </c>
      <c r="AG9" s="226">
        <v>3.6</v>
      </c>
      <c r="AH9" s="226">
        <v>2</v>
      </c>
      <c r="AI9" s="226">
        <v>5.4</v>
      </c>
      <c r="AJ9" s="239">
        <f t="shared" si="12"/>
        <v>2.8</v>
      </c>
      <c r="AK9" s="226">
        <v>3</v>
      </c>
      <c r="AL9" s="226">
        <v>5</v>
      </c>
      <c r="AM9" s="239">
        <f t="shared" si="0"/>
        <v>85.3</v>
      </c>
      <c r="AN9" s="244">
        <f t="shared" si="13"/>
        <v>3</v>
      </c>
      <c r="AO9" s="223"/>
      <c r="AP9" s="244">
        <f t="shared" si="14"/>
        <v>4</v>
      </c>
      <c r="AQ9" s="196">
        <v>14.05</v>
      </c>
      <c r="AR9" s="196">
        <v>15.55</v>
      </c>
      <c r="AS9" s="196">
        <v>14.1</v>
      </c>
      <c r="AT9" s="196">
        <v>16.850000000000001</v>
      </c>
      <c r="AU9" s="196"/>
      <c r="AV9" s="197">
        <f t="shared" si="17"/>
        <v>15.137500000000001</v>
      </c>
      <c r="AW9" s="196">
        <v>14.05</v>
      </c>
      <c r="AX9" s="196">
        <v>16.399999999999999</v>
      </c>
      <c r="AY9" s="196">
        <v>13.85</v>
      </c>
      <c r="AZ9" s="196">
        <v>15.1</v>
      </c>
      <c r="BB9" s="199">
        <f t="shared" si="20"/>
        <v>14.85</v>
      </c>
      <c r="BC9" s="200">
        <v>12</v>
      </c>
      <c r="BD9" s="200">
        <f t="shared" si="18"/>
        <v>0</v>
      </c>
      <c r="BE9" s="196">
        <v>14.9</v>
      </c>
      <c r="BF9" s="196">
        <v>12.15</v>
      </c>
      <c r="BG9" s="196">
        <v>13.45</v>
      </c>
      <c r="BH9" s="196">
        <v>15</v>
      </c>
      <c r="BJ9" s="199">
        <f t="shared" si="15"/>
        <v>13.875</v>
      </c>
      <c r="BK9" s="196">
        <v>15.2</v>
      </c>
      <c r="BL9" s="196">
        <v>12.4</v>
      </c>
      <c r="BM9" s="196">
        <v>14</v>
      </c>
      <c r="BN9" s="196">
        <v>14.2</v>
      </c>
      <c r="BO9" s="196"/>
      <c r="BP9" s="199">
        <f t="shared" si="16"/>
        <v>13.95</v>
      </c>
      <c r="BQ9" s="200">
        <v>11</v>
      </c>
      <c r="BR9" s="200">
        <f t="shared" si="19"/>
        <v>0</v>
      </c>
    </row>
    <row r="10" spans="1:70">
      <c r="A10" s="227" t="s">
        <v>100</v>
      </c>
      <c r="B10" s="227" t="s">
        <v>611</v>
      </c>
      <c r="C10" s="228" t="s">
        <v>666</v>
      </c>
      <c r="D10" s="228">
        <v>3</v>
      </c>
      <c r="E10" s="229">
        <v>0.53958333333333297</v>
      </c>
      <c r="F10" s="229">
        <v>0.55763888888888891</v>
      </c>
      <c r="G10" s="229">
        <v>0.69368055555555552</v>
      </c>
      <c r="H10" s="210">
        <f>F10-E10</f>
        <v>1.8055555555555935E-2</v>
      </c>
      <c r="I10" s="210">
        <f t="shared" si="2"/>
        <v>5.7870370370373125E-3</v>
      </c>
      <c r="J10" s="210">
        <f t="shared" si="3"/>
        <v>0.15409722222222255</v>
      </c>
      <c r="K10" s="229">
        <v>0.14583333333333334</v>
      </c>
      <c r="L10" s="229">
        <v>0.31111111111111101</v>
      </c>
      <c r="M10" s="229">
        <v>0.32878472222222221</v>
      </c>
      <c r="N10" s="229"/>
      <c r="O10" s="210">
        <f t="shared" si="4"/>
        <v>1.7673611111111209E-2</v>
      </c>
      <c r="P10" s="210">
        <f t="shared" si="5"/>
        <v>4.8495370370371105E-3</v>
      </c>
      <c r="Q10" s="210">
        <f t="shared" si="6"/>
        <v>-0.31111111111111101</v>
      </c>
      <c r="R10" s="229">
        <v>0.16666666666666666</v>
      </c>
      <c r="S10" s="230">
        <v>0.5</v>
      </c>
      <c r="T10" s="230">
        <v>0</v>
      </c>
      <c r="U10" s="230">
        <v>0.5</v>
      </c>
      <c r="V10" s="230">
        <v>0</v>
      </c>
      <c r="W10" s="240">
        <f t="shared" si="7"/>
        <v>10.8</v>
      </c>
      <c r="X10" s="240">
        <f t="shared" si="8"/>
        <v>11.5</v>
      </c>
      <c r="Y10" s="240">
        <f t="shared" si="9"/>
        <v>2.6</v>
      </c>
      <c r="Z10" s="240">
        <f t="shared" si="10"/>
        <v>5</v>
      </c>
      <c r="AA10" s="230">
        <v>7.5</v>
      </c>
      <c r="AB10" s="230">
        <v>5.5</v>
      </c>
      <c r="AC10" s="230">
        <v>2.6</v>
      </c>
      <c r="AD10" s="230">
        <v>0.4</v>
      </c>
      <c r="AE10" s="230">
        <v>0.9</v>
      </c>
      <c r="AF10" s="240">
        <f t="shared" si="11"/>
        <v>0.5</v>
      </c>
      <c r="AG10" s="230">
        <v>2.4</v>
      </c>
      <c r="AH10" s="230">
        <v>1.4</v>
      </c>
      <c r="AI10" s="230">
        <v>4.3</v>
      </c>
      <c r="AJ10" s="240">
        <f t="shared" si="12"/>
        <v>0.5</v>
      </c>
      <c r="AK10" s="230">
        <v>2.5</v>
      </c>
      <c r="AL10" s="230">
        <v>4.5</v>
      </c>
      <c r="AM10" s="240">
        <f t="shared" si="0"/>
        <v>62.9</v>
      </c>
      <c r="AN10" s="245">
        <f t="shared" ref="AN10:AN24" si="21">RANK(AM10,$AM$10:$AM$24)</f>
        <v>13</v>
      </c>
      <c r="AO10" s="227"/>
      <c r="AP10" s="245">
        <f t="shared" ref="AP10:AP24" si="22">RANK(I10,$I$10:$I$24,1)</f>
        <v>7</v>
      </c>
      <c r="AQ10" s="149">
        <v>12.2</v>
      </c>
      <c r="AR10" s="149">
        <v>12.25</v>
      </c>
      <c r="AS10" s="149">
        <v>12.25</v>
      </c>
      <c r="AT10" s="149">
        <v>12.25</v>
      </c>
      <c r="AU10" s="196"/>
      <c r="AV10" s="197">
        <f t="shared" si="17"/>
        <v>12.237500000000001</v>
      </c>
      <c r="AW10" s="149">
        <v>12.2</v>
      </c>
      <c r="AX10" s="149">
        <v>12.4</v>
      </c>
      <c r="AY10" s="149">
        <v>12.25</v>
      </c>
      <c r="AZ10" s="196">
        <v>12.25</v>
      </c>
      <c r="BB10" s="199">
        <f t="shared" si="20"/>
        <v>12.275</v>
      </c>
      <c r="BC10" s="160">
        <v>12</v>
      </c>
      <c r="BD10" s="200">
        <f t="shared" si="18"/>
        <v>0</v>
      </c>
      <c r="BE10" s="149">
        <v>12.3</v>
      </c>
      <c r="BF10" s="149">
        <v>11.7</v>
      </c>
      <c r="BG10" s="149">
        <v>10.75</v>
      </c>
      <c r="BH10" s="196">
        <v>11.45</v>
      </c>
      <c r="BJ10" s="199">
        <f t="shared" si="15"/>
        <v>11.55</v>
      </c>
      <c r="BK10" s="149">
        <v>13.4</v>
      </c>
      <c r="BL10" s="149">
        <v>11.6</v>
      </c>
      <c r="BM10" s="149">
        <v>11.8</v>
      </c>
      <c r="BN10" s="149">
        <v>10.8</v>
      </c>
      <c r="BO10" s="196"/>
      <c r="BP10" s="199">
        <f t="shared" si="16"/>
        <v>11.899999999999999</v>
      </c>
      <c r="BQ10" s="160">
        <v>11</v>
      </c>
      <c r="BR10" s="200">
        <f t="shared" si="19"/>
        <v>0</v>
      </c>
    </row>
    <row r="11" spans="1:70">
      <c r="A11" s="218" t="s">
        <v>100</v>
      </c>
      <c r="B11" s="218" t="s">
        <v>681</v>
      </c>
      <c r="C11" s="219" t="s">
        <v>667</v>
      </c>
      <c r="D11" s="219">
        <v>4</v>
      </c>
      <c r="E11" s="220">
        <v>0.54027777777777797</v>
      </c>
      <c r="F11" s="220">
        <v>0.55856481481481479</v>
      </c>
      <c r="G11" s="220">
        <v>0.68082175925925925</v>
      </c>
      <c r="H11" s="208">
        <f t="shared" si="1"/>
        <v>1.8287037037036824E-2</v>
      </c>
      <c r="I11" s="208">
        <f t="shared" si="2"/>
        <v>6.0185185185182011E-3</v>
      </c>
      <c r="J11" s="208">
        <f t="shared" si="3"/>
        <v>0.14054398148148128</v>
      </c>
      <c r="K11" s="220">
        <v>0.14583333333333334</v>
      </c>
      <c r="L11" s="220">
        <v>0.311805555555556</v>
      </c>
      <c r="M11" s="220">
        <v>0.32946759259259256</v>
      </c>
      <c r="N11" s="220"/>
      <c r="O11" s="208">
        <f t="shared" si="4"/>
        <v>1.766203703703656E-2</v>
      </c>
      <c r="P11" s="208">
        <f t="shared" si="5"/>
        <v>4.837962962962461E-3</v>
      </c>
      <c r="Q11" s="208">
        <f t="shared" si="6"/>
        <v>-0.311805555555556</v>
      </c>
      <c r="R11" s="220">
        <v>0.16666666666666666</v>
      </c>
      <c r="S11" s="221">
        <v>2</v>
      </c>
      <c r="T11" s="221">
        <v>2</v>
      </c>
      <c r="U11" s="221">
        <v>1</v>
      </c>
      <c r="V11" s="221">
        <v>1.2</v>
      </c>
      <c r="W11" s="238">
        <f t="shared" si="7"/>
        <v>10.7</v>
      </c>
      <c r="X11" s="238">
        <f t="shared" si="8"/>
        <v>11.5</v>
      </c>
      <c r="Y11" s="238">
        <f t="shared" si="9"/>
        <v>5</v>
      </c>
      <c r="Z11" s="238">
        <f t="shared" si="10"/>
        <v>5</v>
      </c>
      <c r="AA11" s="221">
        <v>7.2</v>
      </c>
      <c r="AB11" s="221">
        <v>8</v>
      </c>
      <c r="AC11" s="221">
        <v>3.6</v>
      </c>
      <c r="AD11" s="221">
        <v>0.8</v>
      </c>
      <c r="AE11" s="221">
        <v>1.4</v>
      </c>
      <c r="AF11" s="238">
        <f t="shared" si="11"/>
        <v>4</v>
      </c>
      <c r="AG11" s="221">
        <v>3.2</v>
      </c>
      <c r="AH11" s="221">
        <v>1.6</v>
      </c>
      <c r="AI11" s="221">
        <v>3.4</v>
      </c>
      <c r="AJ11" s="238">
        <f t="shared" si="12"/>
        <v>2.2000000000000002</v>
      </c>
      <c r="AK11" s="221">
        <v>3</v>
      </c>
      <c r="AL11" s="221">
        <v>5</v>
      </c>
      <c r="AM11" s="240">
        <f t="shared" si="0"/>
        <v>75.600000000000009</v>
      </c>
      <c r="AN11" s="245">
        <f t="shared" si="21"/>
        <v>7</v>
      </c>
      <c r="AO11" s="227"/>
      <c r="AP11" s="245">
        <f t="shared" si="22"/>
        <v>8</v>
      </c>
      <c r="AQ11" s="149">
        <v>15.6</v>
      </c>
      <c r="AR11" s="149">
        <v>14</v>
      </c>
      <c r="AS11" s="149">
        <v>14</v>
      </c>
      <c r="AT11" s="149">
        <v>17</v>
      </c>
      <c r="AU11" s="149"/>
      <c r="AV11" s="197">
        <f t="shared" si="17"/>
        <v>15.15</v>
      </c>
      <c r="AW11" s="149">
        <v>16.45</v>
      </c>
      <c r="AX11" s="149">
        <v>14.9</v>
      </c>
      <c r="AY11" s="149">
        <v>14</v>
      </c>
      <c r="AZ11" s="149">
        <v>13.5</v>
      </c>
      <c r="BA11" s="149"/>
      <c r="BB11" s="199">
        <f t="shared" si="20"/>
        <v>14.7125</v>
      </c>
      <c r="BC11" s="160">
        <v>12</v>
      </c>
      <c r="BD11" s="200">
        <f t="shared" si="18"/>
        <v>0</v>
      </c>
      <c r="BE11" s="149">
        <v>14.25</v>
      </c>
      <c r="BF11" s="149">
        <v>12.15</v>
      </c>
      <c r="BG11" s="149">
        <v>13.35</v>
      </c>
      <c r="BH11" s="149">
        <v>15.3</v>
      </c>
      <c r="BI11" s="149"/>
      <c r="BJ11" s="199">
        <f t="shared" si="15"/>
        <v>13.762499999999999</v>
      </c>
      <c r="BK11" s="149">
        <v>14.8</v>
      </c>
      <c r="BL11" s="149">
        <v>12.6</v>
      </c>
      <c r="BM11" s="149">
        <v>13.4</v>
      </c>
      <c r="BN11" s="149">
        <v>13.2</v>
      </c>
      <c r="BO11" s="149"/>
      <c r="BP11" s="199">
        <f t="shared" si="16"/>
        <v>13.5</v>
      </c>
      <c r="BQ11" s="160">
        <v>11</v>
      </c>
      <c r="BR11" s="200">
        <f t="shared" si="19"/>
        <v>0</v>
      </c>
    </row>
    <row r="12" spans="1:70">
      <c r="A12" s="218" t="s">
        <v>100</v>
      </c>
      <c r="B12" s="218" t="s">
        <v>185</v>
      </c>
      <c r="C12" s="219" t="s">
        <v>668</v>
      </c>
      <c r="D12" s="219">
        <v>4</v>
      </c>
      <c r="E12" s="229">
        <v>0.54097222222222197</v>
      </c>
      <c r="F12" s="220">
        <v>0.55472222222222223</v>
      </c>
      <c r="G12" s="220">
        <v>0.67160879629629633</v>
      </c>
      <c r="H12" s="208">
        <f t="shared" si="1"/>
        <v>1.3750000000000262E-2</v>
      </c>
      <c r="I12" s="208">
        <f t="shared" si="2"/>
        <v>1.4814814814816391E-3</v>
      </c>
      <c r="J12" s="208">
        <f t="shared" si="3"/>
        <v>0.13063657407407436</v>
      </c>
      <c r="K12" s="220">
        <v>0.14583333333333334</v>
      </c>
      <c r="L12" s="220">
        <v>0.30694444444444402</v>
      </c>
      <c r="M12" s="220">
        <v>0.32098379629629631</v>
      </c>
      <c r="N12" s="220"/>
      <c r="O12" s="208">
        <f t="shared" si="4"/>
        <v>1.4039351851852289E-2</v>
      </c>
      <c r="P12" s="208">
        <f t="shared" si="5"/>
        <v>1.2152777777781898E-3</v>
      </c>
      <c r="Q12" s="208">
        <f t="shared" si="6"/>
        <v>-0.30694444444444402</v>
      </c>
      <c r="R12" s="220">
        <v>0.16666666666666666</v>
      </c>
      <c r="S12" s="221">
        <v>4</v>
      </c>
      <c r="T12" s="221">
        <v>2</v>
      </c>
      <c r="U12" s="221">
        <v>1</v>
      </c>
      <c r="V12" s="221">
        <v>2.8</v>
      </c>
      <c r="W12" s="238">
        <f t="shared" si="7"/>
        <v>13.9</v>
      </c>
      <c r="X12" s="238">
        <f t="shared" si="8"/>
        <v>14.1</v>
      </c>
      <c r="Y12" s="238">
        <f t="shared" si="9"/>
        <v>5</v>
      </c>
      <c r="Z12" s="238">
        <f t="shared" si="10"/>
        <v>5</v>
      </c>
      <c r="AA12" s="221">
        <v>10</v>
      </c>
      <c r="AB12" s="221">
        <v>8</v>
      </c>
      <c r="AC12" s="221">
        <v>4</v>
      </c>
      <c r="AD12" s="221">
        <v>4.3</v>
      </c>
      <c r="AE12" s="221">
        <v>1.9</v>
      </c>
      <c r="AF12" s="238">
        <f t="shared" si="11"/>
        <v>6</v>
      </c>
      <c r="AG12" s="221">
        <v>4</v>
      </c>
      <c r="AH12" s="221">
        <v>2</v>
      </c>
      <c r="AI12" s="221">
        <v>6</v>
      </c>
      <c r="AJ12" s="238">
        <f t="shared" si="12"/>
        <v>3.8</v>
      </c>
      <c r="AK12" s="221">
        <v>3</v>
      </c>
      <c r="AL12" s="221">
        <v>5</v>
      </c>
      <c r="AM12" s="240">
        <f t="shared" si="0"/>
        <v>96</v>
      </c>
      <c r="AN12" s="245">
        <f t="shared" si="21"/>
        <v>1</v>
      </c>
      <c r="AO12" s="227"/>
      <c r="AP12" s="245">
        <f t="shared" si="22"/>
        <v>1</v>
      </c>
      <c r="AQ12" s="149">
        <v>13.45</v>
      </c>
      <c r="AR12" s="149">
        <v>11.8</v>
      </c>
      <c r="AS12" s="149">
        <v>11.35</v>
      </c>
      <c r="AT12" s="149">
        <v>12.5</v>
      </c>
      <c r="AU12" s="149"/>
      <c r="AV12" s="197">
        <f t="shared" si="17"/>
        <v>12.275</v>
      </c>
      <c r="AW12" s="149">
        <v>11.9</v>
      </c>
      <c r="AX12" s="149">
        <v>12</v>
      </c>
      <c r="AY12" s="149">
        <v>12.1</v>
      </c>
      <c r="AZ12" s="149">
        <v>11.75</v>
      </c>
      <c r="BA12" s="81"/>
      <c r="BB12" s="199">
        <f t="shared" si="20"/>
        <v>11.9375</v>
      </c>
      <c r="BC12" s="160">
        <v>12</v>
      </c>
      <c r="BD12" s="200">
        <f t="shared" si="18"/>
        <v>-6.25E-2</v>
      </c>
      <c r="BE12" s="149">
        <v>12.05</v>
      </c>
      <c r="BF12" s="149">
        <v>12.5</v>
      </c>
      <c r="BG12" s="149">
        <v>11</v>
      </c>
      <c r="BH12" s="149">
        <v>11.55</v>
      </c>
      <c r="BI12" s="81"/>
      <c r="BJ12" s="199">
        <f t="shared" si="15"/>
        <v>11.774999999999999</v>
      </c>
      <c r="BK12" s="149">
        <v>11.6</v>
      </c>
      <c r="BL12" s="149">
        <v>13</v>
      </c>
      <c r="BM12" s="149">
        <v>11.6</v>
      </c>
      <c r="BN12" s="149">
        <v>11.6</v>
      </c>
      <c r="BO12" s="149"/>
      <c r="BP12" s="199">
        <f t="shared" si="16"/>
        <v>11.950000000000001</v>
      </c>
      <c r="BQ12" s="160">
        <v>11</v>
      </c>
      <c r="BR12" s="200">
        <f t="shared" si="19"/>
        <v>0</v>
      </c>
    </row>
    <row r="13" spans="1:70">
      <c r="A13" s="218" t="s">
        <v>100</v>
      </c>
      <c r="B13" s="218" t="s">
        <v>682</v>
      </c>
      <c r="C13" s="219" t="s">
        <v>669</v>
      </c>
      <c r="D13" s="219">
        <v>3</v>
      </c>
      <c r="E13" s="220">
        <v>0.54166666666666696</v>
      </c>
      <c r="F13" s="220">
        <v>0.56234953703703705</v>
      </c>
      <c r="G13" s="220">
        <v>0.68934027777777773</v>
      </c>
      <c r="H13" s="208">
        <f t="shared" si="1"/>
        <v>2.0682870370370088E-2</v>
      </c>
      <c r="I13" s="208">
        <f t="shared" si="2"/>
        <v>8.4143518518514648E-3</v>
      </c>
      <c r="J13" s="208">
        <f t="shared" si="3"/>
        <v>0.14767361111111077</v>
      </c>
      <c r="K13" s="220">
        <v>0.14583333333333334</v>
      </c>
      <c r="L13" s="220">
        <v>0.31458333333333299</v>
      </c>
      <c r="M13" s="220">
        <v>0.3361574074074074</v>
      </c>
      <c r="N13" s="220"/>
      <c r="O13" s="208">
        <f t="shared" si="4"/>
        <v>2.1574074074074412E-2</v>
      </c>
      <c r="P13" s="208">
        <f t="shared" si="5"/>
        <v>8.7500000000003131E-3</v>
      </c>
      <c r="Q13" s="208">
        <f t="shared" si="6"/>
        <v>-0.31458333333333299</v>
      </c>
      <c r="R13" s="220">
        <v>0.16666666666666666</v>
      </c>
      <c r="S13" s="221">
        <v>2</v>
      </c>
      <c r="T13" s="221">
        <v>2</v>
      </c>
      <c r="U13" s="221">
        <v>1</v>
      </c>
      <c r="V13" s="221">
        <v>1.9</v>
      </c>
      <c r="W13" s="238">
        <f t="shared" si="7"/>
        <v>8.9</v>
      </c>
      <c r="X13" s="238">
        <f t="shared" si="8"/>
        <v>8.6999999999999993</v>
      </c>
      <c r="Y13" s="238">
        <f t="shared" si="9"/>
        <v>4.5</v>
      </c>
      <c r="Z13" s="238">
        <f t="shared" si="10"/>
        <v>5</v>
      </c>
      <c r="AA13" s="221">
        <v>10</v>
      </c>
      <c r="AB13" s="221">
        <v>7.6</v>
      </c>
      <c r="AC13" s="221">
        <v>4</v>
      </c>
      <c r="AD13" s="221">
        <v>0.8</v>
      </c>
      <c r="AE13" s="221">
        <v>1.3</v>
      </c>
      <c r="AF13" s="238">
        <f t="shared" si="11"/>
        <v>4</v>
      </c>
      <c r="AG13" s="221">
        <v>2.6</v>
      </c>
      <c r="AH13" s="221">
        <v>1.4</v>
      </c>
      <c r="AI13" s="221">
        <v>5.7</v>
      </c>
      <c r="AJ13" s="238">
        <f t="shared" si="12"/>
        <v>2.9</v>
      </c>
      <c r="AK13" s="221">
        <v>3</v>
      </c>
      <c r="AL13" s="221">
        <v>5</v>
      </c>
      <c r="AM13" s="240">
        <f t="shared" si="0"/>
        <v>75.400000000000006</v>
      </c>
      <c r="AN13" s="245">
        <f t="shared" si="21"/>
        <v>8</v>
      </c>
      <c r="AO13" s="227"/>
      <c r="AP13" s="245">
        <f t="shared" si="22"/>
        <v>12</v>
      </c>
      <c r="AQ13" s="149">
        <v>12.05</v>
      </c>
      <c r="AR13" s="149">
        <v>11.05</v>
      </c>
      <c r="AS13" s="149">
        <v>13.9</v>
      </c>
      <c r="AT13" s="149"/>
      <c r="AU13" s="149"/>
      <c r="AV13" s="197">
        <f t="shared" si="17"/>
        <v>12.333333333333334</v>
      </c>
      <c r="AW13" s="149">
        <v>11.95</v>
      </c>
      <c r="AX13" s="149">
        <v>12</v>
      </c>
      <c r="AY13" s="149">
        <v>14</v>
      </c>
      <c r="AZ13" s="149"/>
      <c r="BA13" s="149"/>
      <c r="BB13" s="199">
        <f t="shared" si="20"/>
        <v>12.65</v>
      </c>
      <c r="BC13" s="160">
        <v>12</v>
      </c>
      <c r="BD13" s="200">
        <f t="shared" si="18"/>
        <v>0</v>
      </c>
      <c r="BE13" s="149">
        <v>11.05</v>
      </c>
      <c r="BF13" s="149">
        <v>13.4</v>
      </c>
      <c r="BG13" s="149">
        <v>12.5</v>
      </c>
      <c r="BH13" s="149"/>
      <c r="BI13" s="149"/>
      <c r="BJ13" s="199">
        <f t="shared" si="15"/>
        <v>12.316666666666668</v>
      </c>
      <c r="BK13" s="149">
        <v>10.8</v>
      </c>
      <c r="BL13" s="149">
        <v>13</v>
      </c>
      <c r="BM13" s="149">
        <v>12.6</v>
      </c>
      <c r="BN13" s="149"/>
      <c r="BO13" s="149"/>
      <c r="BP13" s="199">
        <f t="shared" si="16"/>
        <v>12.133333333333333</v>
      </c>
      <c r="BQ13" s="160">
        <v>11</v>
      </c>
      <c r="BR13" s="200">
        <f t="shared" si="19"/>
        <v>0</v>
      </c>
    </row>
    <row r="14" spans="1:70">
      <c r="A14" s="218" t="s">
        <v>100</v>
      </c>
      <c r="B14" s="218" t="s">
        <v>205</v>
      </c>
      <c r="C14" s="219" t="s">
        <v>670</v>
      </c>
      <c r="D14" s="219">
        <v>4</v>
      </c>
      <c r="E14" s="229">
        <v>0.54236111111111096</v>
      </c>
      <c r="F14" s="220">
        <v>0.55751157407407403</v>
      </c>
      <c r="G14" s="220">
        <v>0.67660879629629633</v>
      </c>
      <c r="H14" s="208">
        <f t="shared" si="1"/>
        <v>1.5150462962963074E-2</v>
      </c>
      <c r="I14" s="208">
        <f t="shared" si="2"/>
        <v>2.8819444444444509E-3</v>
      </c>
      <c r="J14" s="208">
        <f t="shared" si="3"/>
        <v>0.13424768518518537</v>
      </c>
      <c r="K14" s="220">
        <v>0.14583333333333334</v>
      </c>
      <c r="L14" s="220">
        <v>0.30833333333333302</v>
      </c>
      <c r="M14" s="220">
        <v>0.32200231481481484</v>
      </c>
      <c r="N14" s="220"/>
      <c r="O14" s="208">
        <f t="shared" si="4"/>
        <v>1.3668981481481823E-2</v>
      </c>
      <c r="P14" s="208">
        <f t="shared" si="5"/>
        <v>8.4490740740772452E-4</v>
      </c>
      <c r="Q14" s="208">
        <f t="shared" si="6"/>
        <v>-0.30833333333333302</v>
      </c>
      <c r="R14" s="220">
        <v>0.16666666666666666</v>
      </c>
      <c r="S14" s="221">
        <v>3</v>
      </c>
      <c r="T14" s="221">
        <v>1</v>
      </c>
      <c r="U14" s="221">
        <v>1</v>
      </c>
      <c r="V14" s="221">
        <v>2.4</v>
      </c>
      <c r="W14" s="238">
        <f t="shared" si="7"/>
        <v>12.9</v>
      </c>
      <c r="X14" s="238">
        <f t="shared" si="8"/>
        <v>14.4</v>
      </c>
      <c r="Y14" s="238">
        <f t="shared" si="9"/>
        <v>5</v>
      </c>
      <c r="Z14" s="238">
        <f t="shared" si="10"/>
        <v>5</v>
      </c>
      <c r="AA14" s="221">
        <v>9.8000000000000007</v>
      </c>
      <c r="AB14" s="221">
        <v>8</v>
      </c>
      <c r="AC14" s="221">
        <v>4</v>
      </c>
      <c r="AD14" s="221">
        <v>4.4000000000000004</v>
      </c>
      <c r="AE14" s="221">
        <v>1.6</v>
      </c>
      <c r="AF14" s="238">
        <f t="shared" si="11"/>
        <v>4</v>
      </c>
      <c r="AG14" s="221">
        <v>3.4</v>
      </c>
      <c r="AH14" s="221">
        <v>1.6</v>
      </c>
      <c r="AI14" s="221">
        <v>5.8</v>
      </c>
      <c r="AJ14" s="238">
        <f t="shared" si="12"/>
        <v>3.4</v>
      </c>
      <c r="AK14" s="221">
        <v>3</v>
      </c>
      <c r="AL14" s="221">
        <v>5</v>
      </c>
      <c r="AM14" s="240">
        <f t="shared" si="0"/>
        <v>91.3</v>
      </c>
      <c r="AN14" s="245">
        <f t="shared" si="21"/>
        <v>3</v>
      </c>
      <c r="AO14" s="227"/>
      <c r="AP14" s="245">
        <f t="shared" si="22"/>
        <v>3</v>
      </c>
      <c r="AQ14" s="149">
        <v>13.8</v>
      </c>
      <c r="AR14" s="149">
        <v>13.1</v>
      </c>
      <c r="AS14" s="149">
        <v>12.65</v>
      </c>
      <c r="AT14" s="149">
        <v>11.7</v>
      </c>
      <c r="AU14" s="149"/>
      <c r="AV14" s="197">
        <f t="shared" si="17"/>
        <v>12.8125</v>
      </c>
      <c r="AW14" s="149">
        <v>13.4</v>
      </c>
      <c r="AX14" s="149">
        <v>12.8</v>
      </c>
      <c r="AY14" s="149">
        <v>12.45</v>
      </c>
      <c r="AZ14" s="149">
        <v>11.7</v>
      </c>
      <c r="BA14" s="81"/>
      <c r="BB14" s="199">
        <f t="shared" si="20"/>
        <v>12.587500000000002</v>
      </c>
      <c r="BC14" s="160">
        <v>12</v>
      </c>
      <c r="BD14" s="200">
        <f t="shared" si="18"/>
        <v>0</v>
      </c>
      <c r="BE14" s="149">
        <v>13.6</v>
      </c>
      <c r="BF14" s="149">
        <v>12.5</v>
      </c>
      <c r="BG14" s="149">
        <v>11.5</v>
      </c>
      <c r="BH14" s="149">
        <v>10.8</v>
      </c>
      <c r="BI14" s="81"/>
      <c r="BJ14" s="199">
        <f t="shared" si="15"/>
        <v>12.100000000000001</v>
      </c>
      <c r="BK14" s="149">
        <v>13.6</v>
      </c>
      <c r="BL14" s="149">
        <v>11.6</v>
      </c>
      <c r="BM14" s="149">
        <v>11.4</v>
      </c>
      <c r="BN14" s="149">
        <v>10.8</v>
      </c>
      <c r="BO14" s="149"/>
      <c r="BP14" s="199">
        <f t="shared" si="16"/>
        <v>11.850000000000001</v>
      </c>
      <c r="BQ14" s="160">
        <v>11</v>
      </c>
      <c r="BR14" s="200">
        <f t="shared" si="19"/>
        <v>0</v>
      </c>
    </row>
    <row r="15" spans="1:70">
      <c r="A15" s="218" t="s">
        <v>100</v>
      </c>
      <c r="B15" s="218" t="s">
        <v>179</v>
      </c>
      <c r="C15" s="219" t="s">
        <v>671</v>
      </c>
      <c r="D15" s="219">
        <v>3</v>
      </c>
      <c r="E15" s="229">
        <v>0.54305555555555596</v>
      </c>
      <c r="F15" s="220">
        <v>0.56357638888888884</v>
      </c>
      <c r="G15" s="220">
        <v>0.69055555555555559</v>
      </c>
      <c r="H15" s="208">
        <f t="shared" si="1"/>
        <v>2.0520833333332877E-2</v>
      </c>
      <c r="I15" s="208">
        <f t="shared" si="2"/>
        <v>8.2523148148142544E-3</v>
      </c>
      <c r="J15" s="208">
        <f>G15-E15</f>
        <v>0.14749999999999963</v>
      </c>
      <c r="K15" s="220">
        <v>0.14583333333333334</v>
      </c>
      <c r="L15" s="220">
        <v>0.31388888888888899</v>
      </c>
      <c r="M15" s="220">
        <v>0.3363888888888889</v>
      </c>
      <c r="N15" s="220"/>
      <c r="O15" s="208">
        <f t="shared" si="4"/>
        <v>2.2499999999999909E-2</v>
      </c>
      <c r="P15" s="208">
        <f t="shared" si="5"/>
        <v>9.6759259259258101E-3</v>
      </c>
      <c r="Q15" s="208">
        <f t="shared" si="6"/>
        <v>-0.31388888888888899</v>
      </c>
      <c r="R15" s="220">
        <v>0.16666666666666666</v>
      </c>
      <c r="S15" s="221">
        <v>0.5</v>
      </c>
      <c r="T15" s="221">
        <v>0</v>
      </c>
      <c r="U15" s="221">
        <v>1</v>
      </c>
      <c r="V15" s="221">
        <v>0.3</v>
      </c>
      <c r="W15" s="238">
        <f t="shared" si="7"/>
        <v>9.1</v>
      </c>
      <c r="X15" s="238">
        <f t="shared" si="8"/>
        <v>8</v>
      </c>
      <c r="Y15" s="238">
        <f t="shared" si="9"/>
        <v>4.5</v>
      </c>
      <c r="Z15" s="238">
        <f t="shared" si="10"/>
        <v>5</v>
      </c>
      <c r="AA15" s="221">
        <v>7.2</v>
      </c>
      <c r="AB15" s="221">
        <v>6.3</v>
      </c>
      <c r="AC15" s="221">
        <v>4</v>
      </c>
      <c r="AD15" s="221">
        <v>0.8</v>
      </c>
      <c r="AE15" s="221">
        <v>1.4</v>
      </c>
      <c r="AF15" s="238">
        <f t="shared" si="11"/>
        <v>0.5</v>
      </c>
      <c r="AG15" s="221">
        <v>3.4</v>
      </c>
      <c r="AH15" s="221">
        <v>1.2</v>
      </c>
      <c r="AI15" s="221">
        <v>5.7</v>
      </c>
      <c r="AJ15" s="238">
        <f t="shared" si="12"/>
        <v>1.3</v>
      </c>
      <c r="AK15" s="221">
        <v>3</v>
      </c>
      <c r="AL15" s="221">
        <v>4.3</v>
      </c>
      <c r="AM15" s="240">
        <f t="shared" si="0"/>
        <v>65.7</v>
      </c>
      <c r="AN15" s="245">
        <f t="shared" si="21"/>
        <v>12</v>
      </c>
      <c r="AO15" s="227"/>
      <c r="AP15" s="245">
        <f t="shared" si="22"/>
        <v>11</v>
      </c>
      <c r="AQ15" s="149">
        <v>19.649999999999999</v>
      </c>
      <c r="AR15" s="149">
        <v>15.65</v>
      </c>
      <c r="AS15" s="149">
        <v>16.100000000000001</v>
      </c>
      <c r="AT15" s="149">
        <v>17.55</v>
      </c>
      <c r="AU15" s="149">
        <v>13.8</v>
      </c>
      <c r="AV15" s="197">
        <f t="shared" si="17"/>
        <v>16.55</v>
      </c>
      <c r="AW15" s="149">
        <v>19</v>
      </c>
      <c r="AX15" s="149">
        <v>14.8</v>
      </c>
      <c r="AY15" s="149">
        <v>15.4</v>
      </c>
      <c r="AZ15" s="149">
        <v>16.850000000000001</v>
      </c>
      <c r="BA15" s="81">
        <v>13</v>
      </c>
      <c r="BB15" s="199">
        <f t="shared" si="20"/>
        <v>15.809999999999999</v>
      </c>
      <c r="BC15" s="160">
        <v>12</v>
      </c>
      <c r="BD15" s="200">
        <f t="shared" si="18"/>
        <v>0</v>
      </c>
      <c r="BE15" s="149">
        <v>18.399999999999999</v>
      </c>
      <c r="BF15" s="149">
        <v>13.1</v>
      </c>
      <c r="BG15" s="149">
        <v>13.9</v>
      </c>
      <c r="BH15" s="149">
        <v>15.2</v>
      </c>
      <c r="BI15" s="81">
        <v>12.5</v>
      </c>
      <c r="BJ15" s="199">
        <f>AVERAGE(BE15:BI15)</f>
        <v>14.62</v>
      </c>
      <c r="BK15" s="149">
        <v>12.8</v>
      </c>
      <c r="BL15" s="149">
        <v>13.2</v>
      </c>
      <c r="BM15" s="149">
        <v>11.6</v>
      </c>
      <c r="BN15" s="149">
        <v>15.2</v>
      </c>
      <c r="BO15" s="149">
        <v>18.399999999999999</v>
      </c>
      <c r="BP15" s="199">
        <f>AVERAGE(BK15:BO15)</f>
        <v>14.239999999999998</v>
      </c>
      <c r="BQ15" s="160">
        <v>11</v>
      </c>
      <c r="BR15" s="200">
        <f t="shared" si="19"/>
        <v>0</v>
      </c>
    </row>
    <row r="16" spans="1:70">
      <c r="A16" s="218" t="s">
        <v>100</v>
      </c>
      <c r="B16" s="218" t="s">
        <v>683</v>
      </c>
      <c r="C16" s="219" t="s">
        <v>672</v>
      </c>
      <c r="D16" s="219">
        <v>4</v>
      </c>
      <c r="E16" s="229">
        <v>0.54374999999999996</v>
      </c>
      <c r="F16" s="220">
        <v>0.56682870370370375</v>
      </c>
      <c r="G16" s="220">
        <v>0.68325231481481474</v>
      </c>
      <c r="H16" s="208">
        <f t="shared" si="1"/>
        <v>2.3078703703703796E-2</v>
      </c>
      <c r="I16" s="208">
        <f t="shared" si="2"/>
        <v>1.0810185185185173E-2</v>
      </c>
      <c r="J16" s="208">
        <f t="shared" si="3"/>
        <v>0.13950231481481479</v>
      </c>
      <c r="K16" s="220">
        <v>0.14583333333333334</v>
      </c>
      <c r="L16" s="220">
        <v>0.31597222222222199</v>
      </c>
      <c r="M16" s="220">
        <v>0.34370370370370368</v>
      </c>
      <c r="N16" s="220"/>
      <c r="O16" s="208">
        <f t="shared" si="4"/>
        <v>2.773148148148169E-2</v>
      </c>
      <c r="P16" s="208">
        <f t="shared" si="5"/>
        <v>1.4907407407407591E-2</v>
      </c>
      <c r="Q16" s="208">
        <f t="shared" si="6"/>
        <v>-0.31597222222222199</v>
      </c>
      <c r="R16" s="220">
        <v>0.16666666666666666</v>
      </c>
      <c r="S16" s="221">
        <v>0</v>
      </c>
      <c r="T16" s="221">
        <v>0</v>
      </c>
      <c r="U16" s="221">
        <v>0</v>
      </c>
      <c r="V16" s="221">
        <v>0.5</v>
      </c>
      <c r="W16" s="238">
        <f t="shared" si="7"/>
        <v>7.2</v>
      </c>
      <c r="X16" s="238">
        <f t="shared" si="8"/>
        <v>4.3</v>
      </c>
      <c r="Y16" s="238">
        <f t="shared" si="9"/>
        <v>5</v>
      </c>
      <c r="Z16" s="238">
        <f t="shared" si="10"/>
        <v>5</v>
      </c>
      <c r="AA16" s="221">
        <v>5.6</v>
      </c>
      <c r="AB16" s="221">
        <v>7</v>
      </c>
      <c r="AC16" s="221">
        <v>2.4</v>
      </c>
      <c r="AD16" s="221">
        <v>0</v>
      </c>
      <c r="AE16" s="221">
        <v>1.1000000000000001</v>
      </c>
      <c r="AF16" s="238">
        <f t="shared" si="11"/>
        <v>0</v>
      </c>
      <c r="AG16" s="221">
        <v>2</v>
      </c>
      <c r="AH16" s="221">
        <v>1</v>
      </c>
      <c r="AI16" s="221">
        <v>4.7</v>
      </c>
      <c r="AJ16" s="238">
        <f t="shared" si="12"/>
        <v>0.5</v>
      </c>
      <c r="AK16" s="221">
        <v>2.5</v>
      </c>
      <c r="AL16" s="221">
        <v>4.3</v>
      </c>
      <c r="AM16" s="240">
        <f t="shared" si="0"/>
        <v>52.6</v>
      </c>
      <c r="AN16" s="245">
        <f t="shared" si="21"/>
        <v>15</v>
      </c>
      <c r="AO16" s="227"/>
      <c r="AP16" s="245">
        <f t="shared" si="22"/>
        <v>14</v>
      </c>
      <c r="AQ16" s="149">
        <v>11.95</v>
      </c>
      <c r="AR16" s="149">
        <v>11.95</v>
      </c>
      <c r="AS16" s="149">
        <v>13.15</v>
      </c>
      <c r="AT16" s="149">
        <v>12</v>
      </c>
      <c r="AU16" s="149"/>
      <c r="AV16" s="197">
        <f t="shared" si="17"/>
        <v>12.262499999999999</v>
      </c>
      <c r="AW16" s="149">
        <v>11.9</v>
      </c>
      <c r="AX16" s="149">
        <v>12</v>
      </c>
      <c r="AY16" s="149">
        <v>13.2</v>
      </c>
      <c r="AZ16" s="149">
        <v>11.8</v>
      </c>
      <c r="BA16" s="81"/>
      <c r="BB16" s="199">
        <f t="shared" si="20"/>
        <v>12.224999999999998</v>
      </c>
      <c r="BC16" s="160">
        <v>12</v>
      </c>
      <c r="BD16" s="200">
        <f t="shared" si="18"/>
        <v>0</v>
      </c>
      <c r="BE16" s="149">
        <v>11.2</v>
      </c>
      <c r="BF16" s="149">
        <v>12.55</v>
      </c>
      <c r="BG16" s="149">
        <v>10.8</v>
      </c>
      <c r="BH16" s="149">
        <v>10.95</v>
      </c>
      <c r="BI16" s="81"/>
      <c r="BJ16" s="199">
        <f t="shared" ref="BJ16:BJ23" si="23">AVERAGE(BE16:BH16)</f>
        <v>11.375</v>
      </c>
      <c r="BK16" s="149">
        <v>11.6</v>
      </c>
      <c r="BL16" s="149">
        <v>12</v>
      </c>
      <c r="BM16" s="149">
        <v>11.2</v>
      </c>
      <c r="BN16" s="149">
        <v>12</v>
      </c>
      <c r="BO16" s="149"/>
      <c r="BP16" s="199">
        <f t="shared" si="16"/>
        <v>11.7</v>
      </c>
      <c r="BQ16" s="160">
        <v>11</v>
      </c>
      <c r="BR16" s="200">
        <f t="shared" si="19"/>
        <v>0</v>
      </c>
    </row>
    <row r="17" spans="1:70">
      <c r="A17" s="218" t="s">
        <v>100</v>
      </c>
      <c r="B17" s="218" t="s">
        <v>684</v>
      </c>
      <c r="C17" s="219" t="s">
        <v>673</v>
      </c>
      <c r="D17" s="219">
        <v>4</v>
      </c>
      <c r="E17" s="220">
        <v>0.54444444444444395</v>
      </c>
      <c r="F17" s="220">
        <v>0.56413194444444448</v>
      </c>
      <c r="G17" s="220">
        <v>0.67942129629629633</v>
      </c>
      <c r="H17" s="208">
        <f>F17-E17</f>
        <v>1.9687500000000524E-2</v>
      </c>
      <c r="I17" s="208">
        <f t="shared" si="2"/>
        <v>7.4189814814819011E-3</v>
      </c>
      <c r="J17" s="208">
        <f>G17-E17</f>
        <v>0.13497685185185238</v>
      </c>
      <c r="K17" s="220">
        <v>0.14583333333333334</v>
      </c>
      <c r="L17" s="220">
        <v>0.3125</v>
      </c>
      <c r="M17" s="220">
        <v>0.32975694444444442</v>
      </c>
      <c r="N17" s="220"/>
      <c r="O17" s="208">
        <f>M17-L17</f>
        <v>1.7256944444444422E-2</v>
      </c>
      <c r="P17" s="208">
        <f t="shared" si="5"/>
        <v>4.4328703703703232E-3</v>
      </c>
      <c r="Q17" s="208">
        <f>N17-L17</f>
        <v>-0.3125</v>
      </c>
      <c r="R17" s="220">
        <v>0.16666666666666666</v>
      </c>
      <c r="S17" s="221">
        <v>1.5</v>
      </c>
      <c r="T17" s="221">
        <v>0</v>
      </c>
      <c r="U17" s="221">
        <v>0</v>
      </c>
      <c r="V17" s="221">
        <v>1</v>
      </c>
      <c r="W17" s="238">
        <f t="shared" si="7"/>
        <v>9.6999999999999993</v>
      </c>
      <c r="X17" s="238">
        <f t="shared" si="8"/>
        <v>11.8</v>
      </c>
      <c r="Y17" s="238">
        <f>ROUND(MAX(MIN(Y$2+(K17-J17)*60*24*0.2,$Y$2),0),1)</f>
        <v>5</v>
      </c>
      <c r="Z17" s="238">
        <f>ROUND(MAX(MIN($Z$2+(R17-Q17)*60*24*0.2,$Z$2),0),1)</f>
        <v>5</v>
      </c>
      <c r="AA17" s="221">
        <v>7.8</v>
      </c>
      <c r="AB17" s="221">
        <v>7.3</v>
      </c>
      <c r="AC17" s="221">
        <v>3.4</v>
      </c>
      <c r="AD17" s="221">
        <v>0.8</v>
      </c>
      <c r="AE17" s="221">
        <v>1.1000000000000001</v>
      </c>
      <c r="AF17" s="238">
        <f t="shared" si="11"/>
        <v>1.5</v>
      </c>
      <c r="AG17" s="221">
        <v>3</v>
      </c>
      <c r="AH17" s="221">
        <v>1.4</v>
      </c>
      <c r="AI17" s="221">
        <v>5.3</v>
      </c>
      <c r="AJ17" s="238">
        <f t="shared" si="12"/>
        <v>1</v>
      </c>
      <c r="AK17" s="221">
        <v>2</v>
      </c>
      <c r="AL17" s="221">
        <v>5</v>
      </c>
      <c r="AM17" s="240">
        <f t="shared" si="0"/>
        <v>71.099999999999994</v>
      </c>
      <c r="AN17" s="245">
        <f t="shared" si="21"/>
        <v>9</v>
      </c>
      <c r="AO17" s="227"/>
      <c r="AP17" s="245">
        <f t="shared" si="22"/>
        <v>9</v>
      </c>
      <c r="AQ17" s="149">
        <v>13.4</v>
      </c>
      <c r="AR17" s="149">
        <v>14.25</v>
      </c>
      <c r="AS17" s="149">
        <v>13.35</v>
      </c>
      <c r="AT17" s="149">
        <v>13.3</v>
      </c>
      <c r="AU17" s="149"/>
      <c r="AV17" s="197">
        <f>AVERAGE(AQ17:AU17)</f>
        <v>13.574999999999999</v>
      </c>
      <c r="AW17" s="149">
        <v>13.95</v>
      </c>
      <c r="AX17" s="149">
        <v>13.05</v>
      </c>
      <c r="AY17" s="149">
        <v>13</v>
      </c>
      <c r="AZ17" s="149">
        <v>13.1</v>
      </c>
      <c r="BA17" s="81"/>
      <c r="BB17" s="199">
        <f>AVERAGE(AW17:BA17)</f>
        <v>13.275</v>
      </c>
      <c r="BC17" s="160">
        <v>12</v>
      </c>
      <c r="BD17" s="200">
        <f>IF(ISERR(BB17),0,IF(BB17&lt;BC17,BB17-BC17,0))</f>
        <v>0</v>
      </c>
      <c r="BE17" s="149">
        <v>13</v>
      </c>
      <c r="BF17" s="149">
        <v>13.25</v>
      </c>
      <c r="BG17" s="149">
        <v>12.5</v>
      </c>
      <c r="BH17" s="149">
        <v>12.85</v>
      </c>
      <c r="BI17" s="81"/>
      <c r="BJ17" s="199">
        <f t="shared" si="23"/>
        <v>12.9</v>
      </c>
      <c r="BK17" s="149">
        <v>13.4</v>
      </c>
      <c r="BL17" s="149">
        <v>13.2</v>
      </c>
      <c r="BM17" s="149">
        <v>13</v>
      </c>
      <c r="BN17" s="149">
        <v>12.6</v>
      </c>
      <c r="BO17" s="149"/>
      <c r="BP17" s="199">
        <f>AVERAGE(BK17:BN17)</f>
        <v>13.05</v>
      </c>
      <c r="BQ17" s="160">
        <v>11</v>
      </c>
      <c r="BR17" s="200">
        <f>IF(ISERR(BP17),0,IF(BP17&lt;BQ17,BP17-BQ17,0))</f>
        <v>0</v>
      </c>
    </row>
    <row r="18" spans="1:70">
      <c r="A18" s="218" t="s">
        <v>100</v>
      </c>
      <c r="B18" s="218" t="s">
        <v>208</v>
      </c>
      <c r="C18" s="219" t="s">
        <v>674</v>
      </c>
      <c r="D18" s="219">
        <v>4</v>
      </c>
      <c r="E18" s="220">
        <v>0.54513888888888895</v>
      </c>
      <c r="F18" s="220">
        <v>0.56159722222222219</v>
      </c>
      <c r="G18" s="220">
        <v>0.68298611111111107</v>
      </c>
      <c r="H18" s="208">
        <f>F18-E18</f>
        <v>1.6458333333333242E-2</v>
      </c>
      <c r="I18" s="208">
        <f t="shared" si="2"/>
        <v>4.1898148148146186E-3</v>
      </c>
      <c r="J18" s="208">
        <f>G18-E18</f>
        <v>0.13784722222222212</v>
      </c>
      <c r="K18" s="220">
        <v>0.14583333333333334</v>
      </c>
      <c r="L18" s="220">
        <v>0.31041666666666701</v>
      </c>
      <c r="M18" s="220">
        <v>0.32578703703703704</v>
      </c>
      <c r="N18" s="220"/>
      <c r="O18" s="208">
        <f>M18-L18</f>
        <v>1.5370370370370035E-2</v>
      </c>
      <c r="P18" s="208">
        <f t="shared" si="5"/>
        <v>2.5462962962959357E-3</v>
      </c>
      <c r="Q18" s="208">
        <f>N18-L18</f>
        <v>-0.31041666666666701</v>
      </c>
      <c r="R18" s="220">
        <v>0.16666666666666666</v>
      </c>
      <c r="S18" s="221">
        <v>3</v>
      </c>
      <c r="T18" s="221">
        <v>0</v>
      </c>
      <c r="U18" s="221">
        <v>1</v>
      </c>
      <c r="V18" s="221">
        <v>2.2999999999999998</v>
      </c>
      <c r="W18" s="238">
        <f t="shared" si="7"/>
        <v>12</v>
      </c>
      <c r="X18" s="238">
        <f t="shared" si="8"/>
        <v>13.2</v>
      </c>
      <c r="Y18" s="238">
        <f>ROUND(MAX(MIN(Y$2+(K18-J18)*60*24*0.2,$Y$2),0),1)</f>
        <v>5</v>
      </c>
      <c r="Z18" s="238">
        <f>ROUND(MAX(MIN($Z$2+(R18-Q18)*60*24*0.2,$Z$2),0),1)</f>
        <v>5</v>
      </c>
      <c r="AA18" s="221">
        <v>9.6</v>
      </c>
      <c r="AB18" s="221">
        <v>7.9</v>
      </c>
      <c r="AC18" s="221">
        <v>3.6</v>
      </c>
      <c r="AD18" s="221">
        <v>3</v>
      </c>
      <c r="AE18" s="221">
        <v>1.5</v>
      </c>
      <c r="AF18" s="238">
        <f t="shared" si="11"/>
        <v>3</v>
      </c>
      <c r="AG18" s="221">
        <v>3.4</v>
      </c>
      <c r="AH18" s="221">
        <v>1.8</v>
      </c>
      <c r="AI18" s="221">
        <v>5.5</v>
      </c>
      <c r="AJ18" s="238">
        <f t="shared" si="12"/>
        <v>3.3</v>
      </c>
      <c r="AK18" s="221">
        <v>3</v>
      </c>
      <c r="AL18" s="221">
        <v>5</v>
      </c>
      <c r="AM18" s="240">
        <f t="shared" si="0"/>
        <v>85.8</v>
      </c>
      <c r="AN18" s="245">
        <f t="shared" si="21"/>
        <v>5</v>
      </c>
      <c r="AO18" s="227"/>
      <c r="AP18" s="245">
        <f t="shared" si="22"/>
        <v>6</v>
      </c>
      <c r="AQ18" s="149">
        <v>13.4</v>
      </c>
      <c r="AR18" s="149">
        <v>14.25</v>
      </c>
      <c r="AS18" s="149">
        <v>13.35</v>
      </c>
      <c r="AT18" s="149">
        <v>13.3</v>
      </c>
      <c r="AU18" s="149"/>
      <c r="AV18" s="197">
        <f>AVERAGE(AQ18:AU18)</f>
        <v>13.574999999999999</v>
      </c>
      <c r="AW18" s="149">
        <v>13.95</v>
      </c>
      <c r="AX18" s="149">
        <v>13.05</v>
      </c>
      <c r="AY18" s="149">
        <v>13</v>
      </c>
      <c r="AZ18" s="149">
        <v>13.1</v>
      </c>
      <c r="BA18" s="81"/>
      <c r="BB18" s="199">
        <f>AVERAGE(AW18:BA18)</f>
        <v>13.275</v>
      </c>
      <c r="BC18" s="160">
        <v>12</v>
      </c>
      <c r="BD18" s="200">
        <f>IF(ISERR(BB18),0,IF(BB18&lt;BC18,BB18-BC18,0))</f>
        <v>0</v>
      </c>
      <c r="BE18" s="149">
        <v>13</v>
      </c>
      <c r="BF18" s="149">
        <v>13.25</v>
      </c>
      <c r="BG18" s="149">
        <v>12.5</v>
      </c>
      <c r="BH18" s="149">
        <v>12.85</v>
      </c>
      <c r="BI18" s="81"/>
      <c r="BJ18" s="199">
        <f t="shared" si="23"/>
        <v>12.9</v>
      </c>
      <c r="BK18" s="149">
        <v>13.4</v>
      </c>
      <c r="BL18" s="149">
        <v>13.2</v>
      </c>
      <c r="BM18" s="149">
        <v>13</v>
      </c>
      <c r="BN18" s="149">
        <v>12.6</v>
      </c>
      <c r="BO18" s="149"/>
      <c r="BP18" s="199">
        <f>AVERAGE(BK18:BN18)</f>
        <v>13.05</v>
      </c>
      <c r="BQ18" s="160">
        <v>11</v>
      </c>
      <c r="BR18" s="200">
        <f>IF(ISERR(BP18),0,IF(BP18&lt;BQ18,BP18-BQ18,0))</f>
        <v>0</v>
      </c>
    </row>
    <row r="19" spans="1:70">
      <c r="A19" s="218" t="s">
        <v>100</v>
      </c>
      <c r="B19" s="218" t="s">
        <v>184</v>
      </c>
      <c r="C19" s="219" t="s">
        <v>675</v>
      </c>
      <c r="D19" s="219">
        <v>4</v>
      </c>
      <c r="E19" s="220">
        <v>0.54583333333333295</v>
      </c>
      <c r="F19" s="220">
        <v>0.56140046296296298</v>
      </c>
      <c r="G19" s="220">
        <v>0.67918981481481477</v>
      </c>
      <c r="H19" s="208">
        <f>F19-E19</f>
        <v>1.5567129629630028E-2</v>
      </c>
      <c r="I19" s="208">
        <f t="shared" si="2"/>
        <v>3.2986111111114047E-3</v>
      </c>
      <c r="J19" s="208">
        <f>G19-E19</f>
        <v>0.13335648148148183</v>
      </c>
      <c r="K19" s="220">
        <v>0.14583333333333334</v>
      </c>
      <c r="L19" s="220">
        <v>0.30972222222222201</v>
      </c>
      <c r="M19" s="220">
        <v>0.3253240740740741</v>
      </c>
      <c r="N19" s="220"/>
      <c r="O19" s="208">
        <f>M19-L19</f>
        <v>1.5601851851852089E-2</v>
      </c>
      <c r="P19" s="208">
        <f t="shared" si="5"/>
        <v>2.77777777777799E-3</v>
      </c>
      <c r="Q19" s="208">
        <f>N19-L19</f>
        <v>-0.30972222222222201</v>
      </c>
      <c r="R19" s="220">
        <v>0.16666666666666666</v>
      </c>
      <c r="S19" s="221">
        <v>4</v>
      </c>
      <c r="T19" s="221">
        <v>3</v>
      </c>
      <c r="U19" s="221">
        <v>1</v>
      </c>
      <c r="V19" s="221">
        <v>2.4</v>
      </c>
      <c r="W19" s="238">
        <f t="shared" si="7"/>
        <v>12.6</v>
      </c>
      <c r="X19" s="238">
        <f t="shared" si="8"/>
        <v>13</v>
      </c>
      <c r="Y19" s="238">
        <f>ROUND(MAX(MIN(Y$2+(K19-J19)*60*24*0.2,$Y$2),0),1)</f>
        <v>5</v>
      </c>
      <c r="Z19" s="238">
        <f>ROUND(MAX(MIN($Z$2+(R19-Q19)*60*24*0.2,$Z$2),0),1)</f>
        <v>5</v>
      </c>
      <c r="AA19" s="221">
        <v>10</v>
      </c>
      <c r="AB19" s="221">
        <v>8</v>
      </c>
      <c r="AC19" s="221">
        <v>4</v>
      </c>
      <c r="AD19" s="221">
        <v>4.8</v>
      </c>
      <c r="AE19" s="221">
        <v>1.9</v>
      </c>
      <c r="AF19" s="238">
        <f t="shared" si="11"/>
        <v>7</v>
      </c>
      <c r="AG19" s="221">
        <v>4</v>
      </c>
      <c r="AH19" s="221">
        <v>2</v>
      </c>
      <c r="AI19" s="221">
        <v>6</v>
      </c>
      <c r="AJ19" s="238">
        <f t="shared" si="12"/>
        <v>3.4</v>
      </c>
      <c r="AK19" s="221">
        <v>3</v>
      </c>
      <c r="AL19" s="221">
        <v>5</v>
      </c>
      <c r="AM19" s="240">
        <f t="shared" si="0"/>
        <v>94.7</v>
      </c>
      <c r="AN19" s="245">
        <f t="shared" si="21"/>
        <v>2</v>
      </c>
      <c r="AO19" s="227"/>
      <c r="AP19" s="245">
        <f t="shared" si="22"/>
        <v>5</v>
      </c>
      <c r="AQ19" s="149">
        <v>13.4</v>
      </c>
      <c r="AR19" s="149">
        <v>14.25</v>
      </c>
      <c r="AS19" s="149">
        <v>13.35</v>
      </c>
      <c r="AT19" s="149">
        <v>13.3</v>
      </c>
      <c r="AU19" s="149"/>
      <c r="AV19" s="197">
        <f>AVERAGE(AQ19:AU19)</f>
        <v>13.574999999999999</v>
      </c>
      <c r="AW19" s="149">
        <v>13.95</v>
      </c>
      <c r="AX19" s="149">
        <v>13.05</v>
      </c>
      <c r="AY19" s="149">
        <v>13</v>
      </c>
      <c r="AZ19" s="149">
        <v>13.1</v>
      </c>
      <c r="BA19" s="81"/>
      <c r="BB19" s="199">
        <f>AVERAGE(AW19:BA19)</f>
        <v>13.275</v>
      </c>
      <c r="BC19" s="160">
        <v>12</v>
      </c>
      <c r="BD19" s="200">
        <f>IF(ISERR(BB19),0,IF(BB19&lt;BC19,BB19-BC19,0))</f>
        <v>0</v>
      </c>
      <c r="BE19" s="149">
        <v>13</v>
      </c>
      <c r="BF19" s="149">
        <v>13.25</v>
      </c>
      <c r="BG19" s="149">
        <v>12.5</v>
      </c>
      <c r="BH19" s="149">
        <v>12.85</v>
      </c>
      <c r="BI19" s="81"/>
      <c r="BJ19" s="199">
        <f t="shared" si="23"/>
        <v>12.9</v>
      </c>
      <c r="BK19" s="149">
        <v>13.4</v>
      </c>
      <c r="BL19" s="149">
        <v>13.2</v>
      </c>
      <c r="BM19" s="149">
        <v>13</v>
      </c>
      <c r="BN19" s="149">
        <v>12.6</v>
      </c>
      <c r="BO19" s="149"/>
      <c r="BP19" s="199">
        <f>AVERAGE(BK19:BN19)</f>
        <v>13.05</v>
      </c>
      <c r="BQ19" s="160">
        <v>11</v>
      </c>
      <c r="BR19" s="200">
        <f>IF(ISERR(BP19),0,IF(BP19&lt;BQ19,BP19-BQ19,0))</f>
        <v>0</v>
      </c>
    </row>
    <row r="20" spans="1:70">
      <c r="A20" s="218" t="s">
        <v>100</v>
      </c>
      <c r="B20" s="218" t="s">
        <v>685</v>
      </c>
      <c r="C20" s="219" t="s">
        <v>676</v>
      </c>
      <c r="D20" s="219">
        <v>4</v>
      </c>
      <c r="E20" s="220">
        <v>0.54652777777777795</v>
      </c>
      <c r="F20" s="220">
        <v>0.56655092592592593</v>
      </c>
      <c r="G20" s="220">
        <v>0.70509259259259249</v>
      </c>
      <c r="H20" s="208">
        <f>F20-E20</f>
        <v>2.0023148148147984E-2</v>
      </c>
      <c r="I20" s="208">
        <f t="shared" si="2"/>
        <v>7.7546296296293615E-3</v>
      </c>
      <c r="J20" s="208">
        <f>G20-E20</f>
        <v>0.15856481481481455</v>
      </c>
      <c r="K20" s="220">
        <v>0.14583333333333334</v>
      </c>
      <c r="L20" s="220">
        <v>0.313194444444444</v>
      </c>
      <c r="M20" s="220">
        <v>0.33379629629629631</v>
      </c>
      <c r="N20" s="220"/>
      <c r="O20" s="208">
        <f>M20-L20</f>
        <v>2.0601851851852315E-2</v>
      </c>
      <c r="P20" s="208">
        <f t="shared" si="5"/>
        <v>7.7777777777782164E-3</v>
      </c>
      <c r="Q20" s="208">
        <f>N20-L20</f>
        <v>-0.313194444444444</v>
      </c>
      <c r="R20" s="220">
        <v>0.16666666666666666</v>
      </c>
      <c r="S20" s="221">
        <v>0</v>
      </c>
      <c r="T20" s="221">
        <v>1</v>
      </c>
      <c r="U20" s="221">
        <v>1</v>
      </c>
      <c r="V20" s="221">
        <v>1.3</v>
      </c>
      <c r="W20" s="238">
        <f t="shared" si="7"/>
        <v>9.4</v>
      </c>
      <c r="X20" s="238">
        <f t="shared" si="8"/>
        <v>9.4</v>
      </c>
      <c r="Y20" s="238">
        <f>ROUND(MAX(MIN(Y$2+(K20-J20)*60*24*0.2,$Y$2),0),1)</f>
        <v>1.3</v>
      </c>
      <c r="Z20" s="238">
        <f>ROUND(MAX(MIN($Z$2+(R20-Q20)*60*24*0.2,$Z$2),0),1)</f>
        <v>5</v>
      </c>
      <c r="AA20" s="221">
        <v>7.4</v>
      </c>
      <c r="AB20" s="221">
        <v>7.3</v>
      </c>
      <c r="AC20" s="221">
        <v>2.2000000000000002</v>
      </c>
      <c r="AD20" s="221">
        <v>3.2</v>
      </c>
      <c r="AE20" s="221">
        <v>1.8</v>
      </c>
      <c r="AF20" s="238">
        <f t="shared" si="11"/>
        <v>1</v>
      </c>
      <c r="AG20" s="221">
        <v>3.6</v>
      </c>
      <c r="AH20" s="221">
        <v>1.6</v>
      </c>
      <c r="AI20" s="221">
        <v>5.0999999999999996</v>
      </c>
      <c r="AJ20" s="238">
        <f t="shared" si="12"/>
        <v>2.2999999999999998</v>
      </c>
      <c r="AK20" s="221">
        <v>3</v>
      </c>
      <c r="AL20" s="221">
        <v>4.3</v>
      </c>
      <c r="AM20" s="240">
        <f t="shared" si="0"/>
        <v>67.900000000000006</v>
      </c>
      <c r="AN20" s="245">
        <f t="shared" si="21"/>
        <v>11</v>
      </c>
      <c r="AO20" s="227"/>
      <c r="AP20" s="245">
        <f t="shared" si="22"/>
        <v>10</v>
      </c>
      <c r="AQ20" s="149">
        <v>13.4</v>
      </c>
      <c r="AR20" s="149">
        <v>14.25</v>
      </c>
      <c r="AS20" s="149">
        <v>13.35</v>
      </c>
      <c r="AT20" s="149">
        <v>13.3</v>
      </c>
      <c r="AU20" s="149"/>
      <c r="AV20" s="197">
        <f>AVERAGE(AQ20:AU20)</f>
        <v>13.574999999999999</v>
      </c>
      <c r="AW20" s="149">
        <v>13.95</v>
      </c>
      <c r="AX20" s="149">
        <v>13.05</v>
      </c>
      <c r="AY20" s="149">
        <v>13</v>
      </c>
      <c r="AZ20" s="149">
        <v>13.1</v>
      </c>
      <c r="BA20" s="81"/>
      <c r="BB20" s="199">
        <f>AVERAGE(AW20:BA20)</f>
        <v>13.275</v>
      </c>
      <c r="BC20" s="160">
        <v>12</v>
      </c>
      <c r="BD20" s="200">
        <f>IF(ISERR(BB20),0,IF(BB20&lt;BC20,BB20-BC20,0))</f>
        <v>0</v>
      </c>
      <c r="BE20" s="149">
        <v>13</v>
      </c>
      <c r="BF20" s="149">
        <v>13.25</v>
      </c>
      <c r="BG20" s="149">
        <v>12.5</v>
      </c>
      <c r="BH20" s="149">
        <v>12.85</v>
      </c>
      <c r="BI20" s="81"/>
      <c r="BJ20" s="199">
        <f t="shared" si="23"/>
        <v>12.9</v>
      </c>
      <c r="BK20" s="149">
        <v>13.4</v>
      </c>
      <c r="BL20" s="149">
        <v>13.2</v>
      </c>
      <c r="BM20" s="149">
        <v>13</v>
      </c>
      <c r="BN20" s="149">
        <v>12.6</v>
      </c>
      <c r="BO20" s="149"/>
      <c r="BP20" s="199">
        <f>AVERAGE(BK20:BN20)</f>
        <v>13.05</v>
      </c>
      <c r="BQ20" s="160">
        <v>11</v>
      </c>
      <c r="BR20" s="200">
        <f>IF(ISERR(BP20),0,IF(BP20&lt;BQ20,BP20-BQ20,0))</f>
        <v>0</v>
      </c>
    </row>
    <row r="21" spans="1:70">
      <c r="A21" s="218" t="s">
        <v>100</v>
      </c>
      <c r="B21" s="218" t="s">
        <v>686</v>
      </c>
      <c r="C21" s="219" t="s">
        <v>677</v>
      </c>
      <c r="D21" s="219">
        <v>3</v>
      </c>
      <c r="E21" s="220">
        <v>0.54722222222222205</v>
      </c>
      <c r="F21" s="220">
        <v>0.56839120370370366</v>
      </c>
      <c r="G21" s="220">
        <v>0.68912037037037033</v>
      </c>
      <c r="H21" s="208">
        <f t="shared" si="1"/>
        <v>2.1168981481481608E-2</v>
      </c>
      <c r="I21" s="208">
        <f t="shared" si="2"/>
        <v>8.900462962962985E-3</v>
      </c>
      <c r="J21" s="208">
        <f t="shared" si="3"/>
        <v>0.14189814814814827</v>
      </c>
      <c r="K21" s="220">
        <v>0.14583333333333334</v>
      </c>
      <c r="L21" s="220">
        <v>0.31527777777777799</v>
      </c>
      <c r="M21" s="220">
        <v>0.33394675925925926</v>
      </c>
      <c r="N21" s="220"/>
      <c r="O21" s="208">
        <f t="shared" si="4"/>
        <v>1.8668981481481273E-2</v>
      </c>
      <c r="P21" s="208">
        <f t="shared" si="5"/>
        <v>5.8449074074071738E-3</v>
      </c>
      <c r="Q21" s="208">
        <f t="shared" si="6"/>
        <v>-0.31527777777777799</v>
      </c>
      <c r="R21" s="220">
        <v>0.16666666666666666</v>
      </c>
      <c r="S21" s="221">
        <v>2.5</v>
      </c>
      <c r="T21" s="221">
        <v>0</v>
      </c>
      <c r="U21" s="221">
        <v>1</v>
      </c>
      <c r="V21" s="221">
        <v>1.2</v>
      </c>
      <c r="W21" s="238">
        <f t="shared" si="7"/>
        <v>8.6</v>
      </c>
      <c r="X21" s="238">
        <f t="shared" si="8"/>
        <v>10.8</v>
      </c>
      <c r="Y21" s="238">
        <f t="shared" si="9"/>
        <v>5</v>
      </c>
      <c r="Z21" s="238">
        <f t="shared" si="10"/>
        <v>5</v>
      </c>
      <c r="AA21" s="221">
        <v>5.9</v>
      </c>
      <c r="AB21" s="221">
        <v>6.7</v>
      </c>
      <c r="AC21" s="221">
        <v>2.8</v>
      </c>
      <c r="AD21" s="221">
        <v>0.6</v>
      </c>
      <c r="AE21" s="221">
        <v>1.2</v>
      </c>
      <c r="AF21" s="238">
        <f t="shared" si="11"/>
        <v>2.5</v>
      </c>
      <c r="AG21" s="221">
        <v>3.2</v>
      </c>
      <c r="AH21" s="221">
        <v>1</v>
      </c>
      <c r="AI21" s="221">
        <v>5.4</v>
      </c>
      <c r="AJ21" s="238">
        <f t="shared" si="12"/>
        <v>2.2000000000000002</v>
      </c>
      <c r="AK21" s="221">
        <v>3</v>
      </c>
      <c r="AL21" s="221">
        <v>5</v>
      </c>
      <c r="AM21" s="240">
        <f t="shared" si="0"/>
        <v>68.900000000000006</v>
      </c>
      <c r="AN21" s="245">
        <f t="shared" si="21"/>
        <v>10</v>
      </c>
      <c r="AO21" s="227"/>
      <c r="AP21" s="245">
        <f t="shared" si="22"/>
        <v>13</v>
      </c>
      <c r="AQ21" s="149">
        <v>13.4</v>
      </c>
      <c r="AR21" s="149">
        <v>14.25</v>
      </c>
      <c r="AS21" s="149">
        <v>13.35</v>
      </c>
      <c r="AT21" s="149">
        <v>13.3</v>
      </c>
      <c r="AU21" s="149"/>
      <c r="AV21" s="197">
        <f t="shared" si="17"/>
        <v>13.574999999999999</v>
      </c>
      <c r="AW21" s="149">
        <v>13.95</v>
      </c>
      <c r="AX21" s="149">
        <v>13.05</v>
      </c>
      <c r="AY21" s="149">
        <v>13</v>
      </c>
      <c r="AZ21" s="149">
        <v>13.1</v>
      </c>
      <c r="BA21" s="81"/>
      <c r="BB21" s="199">
        <f t="shared" si="20"/>
        <v>13.275</v>
      </c>
      <c r="BC21" s="160">
        <v>12</v>
      </c>
      <c r="BD21" s="200">
        <f t="shared" si="18"/>
        <v>0</v>
      </c>
      <c r="BE21" s="149">
        <v>13</v>
      </c>
      <c r="BF21" s="149">
        <v>13.25</v>
      </c>
      <c r="BG21" s="149">
        <v>12.5</v>
      </c>
      <c r="BH21" s="149">
        <v>12.85</v>
      </c>
      <c r="BI21" s="81"/>
      <c r="BJ21" s="199">
        <f t="shared" si="23"/>
        <v>12.9</v>
      </c>
      <c r="BK21" s="149">
        <v>13.4</v>
      </c>
      <c r="BL21" s="149">
        <v>13.2</v>
      </c>
      <c r="BM21" s="149">
        <v>13</v>
      </c>
      <c r="BN21" s="149">
        <v>12.6</v>
      </c>
      <c r="BO21" s="149"/>
      <c r="BP21" s="199">
        <f t="shared" si="16"/>
        <v>13.05</v>
      </c>
      <c r="BQ21" s="160">
        <v>11</v>
      </c>
      <c r="BR21" s="200">
        <f t="shared" si="19"/>
        <v>0</v>
      </c>
    </row>
    <row r="22" spans="1:70">
      <c r="A22" s="218" t="s">
        <v>100</v>
      </c>
      <c r="B22" s="227" t="s">
        <v>210</v>
      </c>
      <c r="C22" s="219" t="s">
        <v>678</v>
      </c>
      <c r="D22" s="219">
        <v>4</v>
      </c>
      <c r="E22" s="229">
        <v>0.54791666666666705</v>
      </c>
      <c r="F22" s="220">
        <v>0.56314814814814818</v>
      </c>
      <c r="G22" s="220">
        <v>0.68261574074074083</v>
      </c>
      <c r="H22" s="208">
        <f t="shared" si="1"/>
        <v>1.5231481481481124E-2</v>
      </c>
      <c r="I22" s="208">
        <f t="shared" si="2"/>
        <v>2.9629629629625009E-3</v>
      </c>
      <c r="J22" s="208">
        <f t="shared" si="3"/>
        <v>0.13469907407407378</v>
      </c>
      <c r="K22" s="220">
        <v>0.14583333333333334</v>
      </c>
      <c r="L22" s="220">
        <v>0.30902777777777801</v>
      </c>
      <c r="M22" s="220">
        <v>0.32457175925925924</v>
      </c>
      <c r="N22" s="220"/>
      <c r="O22" s="208">
        <f t="shared" si="4"/>
        <v>1.5543981481481228E-2</v>
      </c>
      <c r="P22" s="208">
        <f t="shared" si="5"/>
        <v>2.7199074074071294E-3</v>
      </c>
      <c r="Q22" s="208">
        <f t="shared" si="6"/>
        <v>-0.30902777777777801</v>
      </c>
      <c r="R22" s="220">
        <v>0.16666666666666666</v>
      </c>
      <c r="S22" s="221">
        <v>1</v>
      </c>
      <c r="T22" s="221">
        <v>0</v>
      </c>
      <c r="U22" s="221">
        <v>1</v>
      </c>
      <c r="V22" s="221">
        <v>1.5</v>
      </c>
      <c r="W22" s="238">
        <f t="shared" si="7"/>
        <v>12.7</v>
      </c>
      <c r="X22" s="238">
        <f t="shared" si="8"/>
        <v>13</v>
      </c>
      <c r="Y22" s="238">
        <f t="shared" si="9"/>
        <v>5</v>
      </c>
      <c r="Z22" s="238">
        <f t="shared" si="10"/>
        <v>5</v>
      </c>
      <c r="AA22" s="221">
        <v>9.1999999999999993</v>
      </c>
      <c r="AB22" s="221">
        <v>7.8</v>
      </c>
      <c r="AC22" s="221">
        <v>4</v>
      </c>
      <c r="AD22" s="221">
        <v>3.2</v>
      </c>
      <c r="AE22" s="221">
        <v>1.8</v>
      </c>
      <c r="AF22" s="238">
        <f t="shared" si="11"/>
        <v>1</v>
      </c>
      <c r="AG22" s="221">
        <v>3.2</v>
      </c>
      <c r="AH22" s="221">
        <v>1.6</v>
      </c>
      <c r="AI22" s="221">
        <v>5.3</v>
      </c>
      <c r="AJ22" s="238">
        <f t="shared" si="12"/>
        <v>2.5</v>
      </c>
      <c r="AK22" s="221">
        <v>3</v>
      </c>
      <c r="AL22" s="221">
        <v>5</v>
      </c>
      <c r="AM22" s="240">
        <f t="shared" si="0"/>
        <v>83.3</v>
      </c>
      <c r="AN22" s="245">
        <f t="shared" si="21"/>
        <v>6</v>
      </c>
      <c r="AO22" s="227"/>
      <c r="AP22" s="245">
        <f t="shared" si="22"/>
        <v>4</v>
      </c>
      <c r="AQ22" s="149">
        <v>12.75</v>
      </c>
      <c r="AR22" s="149">
        <v>11.75</v>
      </c>
      <c r="AS22" s="149">
        <v>12.6</v>
      </c>
      <c r="AT22" s="149"/>
      <c r="AU22" s="149"/>
      <c r="AV22" s="197">
        <f t="shared" si="17"/>
        <v>12.366666666666667</v>
      </c>
      <c r="AW22" s="149">
        <v>12.4</v>
      </c>
      <c r="AX22" s="149">
        <v>11.95</v>
      </c>
      <c r="AY22" s="149">
        <v>11.05</v>
      </c>
      <c r="AZ22" s="149"/>
      <c r="BA22" s="81"/>
      <c r="BB22" s="199">
        <f t="shared" si="20"/>
        <v>11.800000000000002</v>
      </c>
      <c r="BC22" s="160">
        <v>12</v>
      </c>
      <c r="BD22" s="200">
        <f t="shared" si="18"/>
        <v>-0.19999999999999751</v>
      </c>
      <c r="BE22" s="149">
        <v>11.45</v>
      </c>
      <c r="BF22" s="149">
        <v>11.45</v>
      </c>
      <c r="BG22" s="149">
        <v>12.2</v>
      </c>
      <c r="BH22" s="149"/>
      <c r="BI22" s="81"/>
      <c r="BJ22" s="199">
        <f t="shared" si="23"/>
        <v>11.699999999999998</v>
      </c>
      <c r="BK22" s="149">
        <v>12</v>
      </c>
      <c r="BL22" s="149">
        <v>10.8</v>
      </c>
      <c r="BM22" s="149">
        <v>13.6</v>
      </c>
      <c r="BN22" s="149"/>
      <c r="BO22" s="149"/>
      <c r="BP22" s="199">
        <f t="shared" si="16"/>
        <v>12.133333333333333</v>
      </c>
      <c r="BQ22" s="160">
        <v>11</v>
      </c>
      <c r="BR22" s="200">
        <f t="shared" si="19"/>
        <v>0</v>
      </c>
    </row>
    <row r="23" spans="1:70">
      <c r="A23" s="218" t="s">
        <v>100</v>
      </c>
      <c r="B23" s="218" t="s">
        <v>687</v>
      </c>
      <c r="C23" s="219" t="s">
        <v>679</v>
      </c>
      <c r="D23" s="219">
        <v>5</v>
      </c>
      <c r="E23" s="220">
        <v>0.54861111111111105</v>
      </c>
      <c r="F23" s="220">
        <v>0.57368055555555553</v>
      </c>
      <c r="G23" s="220">
        <v>0.71250000000000002</v>
      </c>
      <c r="H23" s="208">
        <f t="shared" si="1"/>
        <v>2.5069444444444478E-2</v>
      </c>
      <c r="I23" s="208">
        <f t="shared" si="2"/>
        <v>1.2800925925925855E-2</v>
      </c>
      <c r="J23" s="208">
        <f t="shared" si="3"/>
        <v>0.16388888888888897</v>
      </c>
      <c r="K23" s="220">
        <v>0.14583333333333334</v>
      </c>
      <c r="L23" s="220">
        <v>0.31666666666666698</v>
      </c>
      <c r="M23" s="220">
        <v>0.34445601851851854</v>
      </c>
      <c r="N23" s="220"/>
      <c r="O23" s="208">
        <f t="shared" si="4"/>
        <v>2.7789351851851551E-2</v>
      </c>
      <c r="P23" s="208">
        <f t="shared" si="5"/>
        <v>1.4965277777777453E-2</v>
      </c>
      <c r="Q23" s="208">
        <f t="shared" si="6"/>
        <v>-0.31666666666666698</v>
      </c>
      <c r="R23" s="220">
        <v>0.16666666666666666</v>
      </c>
      <c r="S23" s="221">
        <v>1</v>
      </c>
      <c r="T23" s="221">
        <v>0</v>
      </c>
      <c r="U23" s="221">
        <v>1</v>
      </c>
      <c r="V23" s="221">
        <v>1</v>
      </c>
      <c r="W23" s="238">
        <f t="shared" si="7"/>
        <v>5.8</v>
      </c>
      <c r="X23" s="238">
        <f t="shared" si="8"/>
        <v>4.2</v>
      </c>
      <c r="Y23" s="238">
        <f t="shared" si="9"/>
        <v>0</v>
      </c>
      <c r="Z23" s="238">
        <f t="shared" si="10"/>
        <v>5</v>
      </c>
      <c r="AA23" s="221">
        <v>6.6</v>
      </c>
      <c r="AB23" s="221">
        <v>7.4</v>
      </c>
      <c r="AC23" s="221">
        <v>3.2</v>
      </c>
      <c r="AD23" s="221">
        <v>0.8</v>
      </c>
      <c r="AE23" s="221">
        <v>1.2</v>
      </c>
      <c r="AF23" s="238">
        <f t="shared" si="11"/>
        <v>1</v>
      </c>
      <c r="AG23" s="221">
        <v>2.8</v>
      </c>
      <c r="AH23" s="221">
        <v>1</v>
      </c>
      <c r="AI23" s="221">
        <v>4.9000000000000004</v>
      </c>
      <c r="AJ23" s="238">
        <f t="shared" si="12"/>
        <v>2</v>
      </c>
      <c r="AK23" s="221">
        <v>3</v>
      </c>
      <c r="AL23" s="221">
        <v>5</v>
      </c>
      <c r="AM23" s="240">
        <f t="shared" si="0"/>
        <v>53.9</v>
      </c>
      <c r="AN23" s="245">
        <f t="shared" si="21"/>
        <v>14</v>
      </c>
      <c r="AO23" s="227"/>
      <c r="AP23" s="245">
        <f t="shared" si="22"/>
        <v>15</v>
      </c>
      <c r="AQ23" s="149">
        <v>12.05</v>
      </c>
      <c r="AR23" s="149">
        <v>12.6</v>
      </c>
      <c r="AS23" s="149">
        <v>11.6</v>
      </c>
      <c r="AT23" s="149">
        <v>12.75</v>
      </c>
      <c r="AU23" s="149"/>
      <c r="AV23" s="197">
        <f t="shared" si="17"/>
        <v>12.25</v>
      </c>
      <c r="AW23" s="149">
        <v>12.1</v>
      </c>
      <c r="AX23" s="149">
        <v>12.6</v>
      </c>
      <c r="AY23" s="149">
        <v>11.4</v>
      </c>
      <c r="AZ23" s="149">
        <v>12.7</v>
      </c>
      <c r="BA23" s="81"/>
      <c r="BB23" s="199">
        <f t="shared" si="20"/>
        <v>12.2</v>
      </c>
      <c r="BC23" s="160">
        <v>12</v>
      </c>
      <c r="BD23" s="200">
        <f t="shared" si="18"/>
        <v>0</v>
      </c>
      <c r="BE23" s="149">
        <v>11.7</v>
      </c>
      <c r="BF23" s="149">
        <v>11.55</v>
      </c>
      <c r="BG23" s="149">
        <v>11.25</v>
      </c>
      <c r="BH23" s="149">
        <v>11.4</v>
      </c>
      <c r="BI23" s="81"/>
      <c r="BJ23" s="199">
        <f t="shared" si="23"/>
        <v>11.475</v>
      </c>
      <c r="BK23" s="149">
        <v>11.8</v>
      </c>
      <c r="BL23" s="149">
        <v>11.6</v>
      </c>
      <c r="BM23" s="149">
        <v>11.2</v>
      </c>
      <c r="BN23" s="149">
        <v>11.4</v>
      </c>
      <c r="BO23" s="149"/>
      <c r="BP23" s="199">
        <f t="shared" si="16"/>
        <v>11.499999999999998</v>
      </c>
      <c r="BQ23" s="160">
        <v>11</v>
      </c>
      <c r="BR23" s="200">
        <f t="shared" si="19"/>
        <v>0</v>
      </c>
    </row>
    <row r="24" spans="1:70" ht="14.25" thickBot="1">
      <c r="A24" s="223" t="s">
        <v>100</v>
      </c>
      <c r="B24" s="223" t="s">
        <v>608</v>
      </c>
      <c r="C24" s="224" t="s">
        <v>680</v>
      </c>
      <c r="D24" s="224">
        <v>4</v>
      </c>
      <c r="E24" s="225">
        <v>0.54930555555555505</v>
      </c>
      <c r="F24" s="225">
        <v>0.56432870370370369</v>
      </c>
      <c r="G24" s="225">
        <v>0.67349537037037033</v>
      </c>
      <c r="H24" s="209">
        <f t="shared" si="1"/>
        <v>1.5023148148148646E-2</v>
      </c>
      <c r="I24" s="209">
        <f t="shared" si="2"/>
        <v>2.7546296296300232E-3</v>
      </c>
      <c r="J24" s="209">
        <f t="shared" si="3"/>
        <v>0.12418981481481528</v>
      </c>
      <c r="K24" s="225">
        <v>0.14583333333333334</v>
      </c>
      <c r="L24" s="225">
        <v>0.30763888888888902</v>
      </c>
      <c r="M24" s="225">
        <v>0.32218750000000002</v>
      </c>
      <c r="N24" s="225"/>
      <c r="O24" s="209">
        <f t="shared" si="4"/>
        <v>1.4548611111110998E-2</v>
      </c>
      <c r="P24" s="209">
        <f t="shared" si="5"/>
        <v>1.7245370370368995E-3</v>
      </c>
      <c r="Q24" s="209">
        <f t="shared" si="6"/>
        <v>-0.30763888888888902</v>
      </c>
      <c r="R24" s="225">
        <v>0.16666666666666666</v>
      </c>
      <c r="S24" s="226">
        <v>2.5</v>
      </c>
      <c r="T24" s="226">
        <v>1</v>
      </c>
      <c r="U24" s="226">
        <v>1</v>
      </c>
      <c r="V24" s="226">
        <v>1.8</v>
      </c>
      <c r="W24" s="239">
        <f t="shared" si="7"/>
        <v>13</v>
      </c>
      <c r="X24" s="239">
        <f t="shared" si="8"/>
        <v>13.8</v>
      </c>
      <c r="Y24" s="239">
        <f t="shared" si="9"/>
        <v>5</v>
      </c>
      <c r="Z24" s="239">
        <f t="shared" si="10"/>
        <v>5</v>
      </c>
      <c r="AA24" s="226">
        <v>9.1999999999999993</v>
      </c>
      <c r="AB24" s="226">
        <v>8</v>
      </c>
      <c r="AC24" s="226">
        <v>4</v>
      </c>
      <c r="AD24" s="226">
        <v>1.5</v>
      </c>
      <c r="AE24" s="226">
        <v>1.8</v>
      </c>
      <c r="AF24" s="239">
        <f t="shared" si="11"/>
        <v>3.5</v>
      </c>
      <c r="AG24" s="226">
        <v>3.6</v>
      </c>
      <c r="AH24" s="226">
        <v>1.8</v>
      </c>
      <c r="AI24" s="226">
        <v>5.6</v>
      </c>
      <c r="AJ24" s="239">
        <f t="shared" si="12"/>
        <v>2.8</v>
      </c>
      <c r="AK24" s="226">
        <v>3</v>
      </c>
      <c r="AL24" s="226">
        <v>5</v>
      </c>
      <c r="AM24" s="239">
        <f t="shared" si="0"/>
        <v>86.59999999999998</v>
      </c>
      <c r="AN24" s="244">
        <f t="shared" si="21"/>
        <v>4</v>
      </c>
      <c r="AO24" s="223"/>
      <c r="AP24" s="244">
        <f t="shared" si="22"/>
        <v>2</v>
      </c>
      <c r="AQ24" s="149">
        <v>14.45</v>
      </c>
      <c r="AR24" s="149">
        <v>9.3000000000000007</v>
      </c>
      <c r="AS24" s="149">
        <v>13.1</v>
      </c>
      <c r="AT24" s="149">
        <v>11.2</v>
      </c>
      <c r="AU24" s="149">
        <v>12.95</v>
      </c>
      <c r="AV24" s="197">
        <f t="shared" si="17"/>
        <v>12.2</v>
      </c>
      <c r="AW24" s="149">
        <v>14.5</v>
      </c>
      <c r="AX24" s="149">
        <v>9.3000000000000007</v>
      </c>
      <c r="AY24" s="149">
        <v>13.15</v>
      </c>
      <c r="AZ24" s="149">
        <v>11.25</v>
      </c>
      <c r="BA24" s="149"/>
      <c r="BB24" s="199">
        <f t="shared" si="20"/>
        <v>12.05</v>
      </c>
      <c r="BC24" s="160">
        <v>12</v>
      </c>
      <c r="BD24" s="200">
        <f t="shared" si="18"/>
        <v>0</v>
      </c>
      <c r="BE24" s="149">
        <v>12.85</v>
      </c>
      <c r="BF24" s="149">
        <v>9.0500000000000007</v>
      </c>
      <c r="BG24" s="149">
        <v>12.45</v>
      </c>
      <c r="BH24" s="149">
        <v>11.05</v>
      </c>
      <c r="BI24" s="149">
        <v>12.25</v>
      </c>
      <c r="BJ24" s="199">
        <f>AVERAGE(BE24:BI24)</f>
        <v>11.529999999999998</v>
      </c>
      <c r="BK24" s="149">
        <v>12.8</v>
      </c>
      <c r="BL24" s="149">
        <v>12.4</v>
      </c>
      <c r="BM24" s="149">
        <v>9.1999999999999993</v>
      </c>
      <c r="BN24" s="149">
        <v>11.2</v>
      </c>
      <c r="BO24" s="149">
        <v>12.6</v>
      </c>
      <c r="BP24" s="199">
        <f>AVERAGE(BK24:BO24)</f>
        <v>11.640000000000002</v>
      </c>
      <c r="BQ24" s="160">
        <v>11</v>
      </c>
      <c r="BR24" s="200">
        <f t="shared" si="19"/>
        <v>0</v>
      </c>
    </row>
    <row r="25" spans="1:70">
      <c r="A25" s="227" t="s">
        <v>102</v>
      </c>
      <c r="B25" s="227" t="s">
        <v>182</v>
      </c>
      <c r="C25" s="228" t="s">
        <v>269</v>
      </c>
      <c r="D25" s="228">
        <v>4</v>
      </c>
      <c r="E25" s="229">
        <v>0.55000000000000004</v>
      </c>
      <c r="F25" s="229">
        <v>0.57563657407407409</v>
      </c>
      <c r="G25" s="229">
        <v>0.7190509259259259</v>
      </c>
      <c r="H25" s="210">
        <f t="shared" si="1"/>
        <v>2.5636574074074048E-2</v>
      </c>
      <c r="I25" s="210">
        <f>H25-MIN(H$25:H$28)</f>
        <v>5.5787037037038356E-3</v>
      </c>
      <c r="J25" s="210">
        <f t="shared" si="3"/>
        <v>0.16905092592592585</v>
      </c>
      <c r="K25" s="229">
        <v>0.15972222222222224</v>
      </c>
      <c r="L25" s="229">
        <v>0.31874999999999998</v>
      </c>
      <c r="M25" s="229">
        <v>0.3454861111111111</v>
      </c>
      <c r="N25" s="229"/>
      <c r="O25" s="210">
        <f t="shared" si="4"/>
        <v>2.6736111111111127E-2</v>
      </c>
      <c r="P25" s="210">
        <f>O25-MIN(O$25:O$28)</f>
        <v>7.0486111111115468E-3</v>
      </c>
      <c r="Q25" s="210">
        <f t="shared" si="6"/>
        <v>-0.31874999999999998</v>
      </c>
      <c r="R25" s="229">
        <v>0.1875</v>
      </c>
      <c r="S25" s="230">
        <v>0.5</v>
      </c>
      <c r="T25" s="230">
        <v>1</v>
      </c>
      <c r="U25" s="230">
        <v>1</v>
      </c>
      <c r="V25" s="230">
        <v>1</v>
      </c>
      <c r="W25" s="240">
        <f t="shared" si="7"/>
        <v>11</v>
      </c>
      <c r="X25" s="240">
        <f t="shared" si="8"/>
        <v>9.9</v>
      </c>
      <c r="Y25" s="240">
        <f t="shared" si="9"/>
        <v>2.2999999999999998</v>
      </c>
      <c r="Z25" s="240">
        <f t="shared" si="10"/>
        <v>5</v>
      </c>
      <c r="AA25" s="230">
        <v>8</v>
      </c>
      <c r="AB25" s="230">
        <v>7.6</v>
      </c>
      <c r="AC25" s="230">
        <v>3.8</v>
      </c>
      <c r="AD25" s="230">
        <v>0.5</v>
      </c>
      <c r="AE25" s="230">
        <v>1.3</v>
      </c>
      <c r="AF25" s="240">
        <f t="shared" si="11"/>
        <v>1.5</v>
      </c>
      <c r="AG25" s="230">
        <v>2</v>
      </c>
      <c r="AH25" s="230">
        <v>1.6</v>
      </c>
      <c r="AI25" s="230">
        <v>5.5</v>
      </c>
      <c r="AJ25" s="240">
        <f t="shared" si="12"/>
        <v>2</v>
      </c>
      <c r="AK25" s="230">
        <v>2.5</v>
      </c>
      <c r="AL25" s="230">
        <v>4.8</v>
      </c>
      <c r="AM25" s="240">
        <f t="shared" si="0"/>
        <v>69.3</v>
      </c>
      <c r="AN25" s="245">
        <f>RANK(AM25,$AM$25:$AM$27)</f>
        <v>3</v>
      </c>
      <c r="AO25" s="227"/>
      <c r="AP25" s="245">
        <f>RANK(I25,$I$25:$I$27,1)</f>
        <v>3</v>
      </c>
      <c r="AQ25" s="149">
        <v>12</v>
      </c>
      <c r="AR25" s="149">
        <v>12.5</v>
      </c>
      <c r="AS25" s="149">
        <v>12.55</v>
      </c>
      <c r="AT25" s="149">
        <v>12.7</v>
      </c>
      <c r="AU25" s="149"/>
      <c r="AV25" s="197">
        <f t="shared" si="17"/>
        <v>12.4375</v>
      </c>
      <c r="AW25" s="149">
        <v>12.4</v>
      </c>
      <c r="AX25" s="149">
        <v>12.45</v>
      </c>
      <c r="AY25" s="149">
        <v>12.35</v>
      </c>
      <c r="AZ25" s="149">
        <v>12.05</v>
      </c>
      <c r="BA25" s="81"/>
      <c r="BB25" s="199">
        <f t="shared" si="20"/>
        <v>12.3125</v>
      </c>
      <c r="BC25" s="160">
        <v>12</v>
      </c>
      <c r="BD25" s="200">
        <f t="shared" si="18"/>
        <v>0</v>
      </c>
      <c r="BE25" s="149">
        <v>11.75</v>
      </c>
      <c r="BF25" s="149">
        <v>11.95</v>
      </c>
      <c r="BG25" s="149">
        <v>11.7</v>
      </c>
      <c r="BH25" s="149">
        <v>11.85</v>
      </c>
      <c r="BI25" s="81"/>
      <c r="BJ25" s="199">
        <f>AVERAGE(BE25:BH25)</f>
        <v>11.8125</v>
      </c>
      <c r="BK25" s="149">
        <v>12.4</v>
      </c>
      <c r="BL25" s="149">
        <v>12.2</v>
      </c>
      <c r="BM25" s="149">
        <v>11.2</v>
      </c>
      <c r="BN25" s="149">
        <v>12.2</v>
      </c>
      <c r="BO25" s="149"/>
      <c r="BP25" s="199">
        <f t="shared" si="16"/>
        <v>12</v>
      </c>
      <c r="BQ25" s="160">
        <v>11</v>
      </c>
      <c r="BR25" s="200">
        <f t="shared" si="19"/>
        <v>0</v>
      </c>
    </row>
    <row r="26" spans="1:70">
      <c r="A26" s="227" t="s">
        <v>102</v>
      </c>
      <c r="B26" s="218" t="s">
        <v>642</v>
      </c>
      <c r="C26" s="228" t="s">
        <v>270</v>
      </c>
      <c r="D26" s="228">
        <v>4</v>
      </c>
      <c r="E26" s="220">
        <v>0.55069444444444404</v>
      </c>
      <c r="F26" s="229">
        <v>0.57121527777777781</v>
      </c>
      <c r="G26" s="229">
        <v>0.69641203703703702</v>
      </c>
      <c r="H26" s="210">
        <f t="shared" si="1"/>
        <v>2.0520833333333766E-2</v>
      </c>
      <c r="I26" s="210">
        <f>H26-MIN(H$25:H$28)</f>
        <v>4.6296296296355344E-4</v>
      </c>
      <c r="J26" s="210">
        <f t="shared" si="3"/>
        <v>0.14571759259259298</v>
      </c>
      <c r="K26" s="229">
        <v>0.15972222222222224</v>
      </c>
      <c r="L26" s="229">
        <v>0.31805555555555598</v>
      </c>
      <c r="M26" s="229">
        <v>0.33774305555555556</v>
      </c>
      <c r="N26" s="229"/>
      <c r="O26" s="210">
        <f t="shared" si="4"/>
        <v>1.968749999999958E-2</v>
      </c>
      <c r="P26" s="210">
        <f>O26-MIN(O$25:O$28)</f>
        <v>0</v>
      </c>
      <c r="Q26" s="210">
        <f t="shared" si="6"/>
        <v>-0.31805555555555598</v>
      </c>
      <c r="R26" s="229">
        <v>0.1875</v>
      </c>
      <c r="S26" s="230">
        <v>3</v>
      </c>
      <c r="T26" s="230">
        <v>2</v>
      </c>
      <c r="U26" s="230">
        <v>1</v>
      </c>
      <c r="V26" s="230">
        <v>1.9</v>
      </c>
      <c r="W26" s="240">
        <f t="shared" si="7"/>
        <v>14.7</v>
      </c>
      <c r="X26" s="240">
        <f t="shared" si="8"/>
        <v>15</v>
      </c>
      <c r="Y26" s="240">
        <f t="shared" si="9"/>
        <v>5</v>
      </c>
      <c r="Z26" s="240">
        <f t="shared" si="10"/>
        <v>5</v>
      </c>
      <c r="AA26" s="230">
        <v>9.8000000000000007</v>
      </c>
      <c r="AB26" s="230">
        <v>8</v>
      </c>
      <c r="AC26" s="230">
        <v>4</v>
      </c>
      <c r="AD26" s="230">
        <v>2.8</v>
      </c>
      <c r="AE26" s="230">
        <v>1.8</v>
      </c>
      <c r="AF26" s="240">
        <f t="shared" si="11"/>
        <v>5</v>
      </c>
      <c r="AG26" s="230">
        <v>3.6</v>
      </c>
      <c r="AH26" s="230">
        <v>1.4</v>
      </c>
      <c r="AI26" s="230">
        <v>6</v>
      </c>
      <c r="AJ26" s="240">
        <f t="shared" si="12"/>
        <v>2.9</v>
      </c>
      <c r="AK26" s="230">
        <v>3</v>
      </c>
      <c r="AL26" s="230">
        <v>5</v>
      </c>
      <c r="AM26" s="240">
        <f t="shared" si="0"/>
        <v>93</v>
      </c>
      <c r="AN26" s="245">
        <f>RANK(AM26,$AM$25:$AM$27)</f>
        <v>1</v>
      </c>
      <c r="AO26" s="227"/>
      <c r="AP26" s="245">
        <f>RANK(I26,$I$25:$I$27,1)</f>
        <v>2</v>
      </c>
      <c r="AQ26" s="149">
        <v>12.05</v>
      </c>
      <c r="AR26" s="149">
        <v>12.4</v>
      </c>
      <c r="AS26" s="149">
        <v>12.5</v>
      </c>
      <c r="AT26" s="149">
        <v>12.2</v>
      </c>
      <c r="AU26" s="149"/>
      <c r="AV26" s="197">
        <f t="shared" si="17"/>
        <v>12.287500000000001</v>
      </c>
      <c r="AW26" s="149">
        <v>14.9</v>
      </c>
      <c r="AX26" s="149">
        <v>9.4</v>
      </c>
      <c r="AY26" s="149">
        <v>10.7</v>
      </c>
      <c r="AZ26" s="149">
        <v>13.6</v>
      </c>
      <c r="BA26" s="81"/>
      <c r="BB26" s="199">
        <f t="shared" si="20"/>
        <v>12.15</v>
      </c>
      <c r="BC26" s="160">
        <v>12</v>
      </c>
      <c r="BD26" s="200">
        <f t="shared" si="18"/>
        <v>0</v>
      </c>
      <c r="BE26" s="149">
        <v>12.7</v>
      </c>
      <c r="BF26" s="149">
        <v>9.65</v>
      </c>
      <c r="BG26" s="149">
        <v>9.3000000000000007</v>
      </c>
      <c r="BH26" s="149">
        <v>12.7</v>
      </c>
      <c r="BI26" s="81"/>
      <c r="BJ26" s="199">
        <f>AVERAGE(BE26:BH26)</f>
        <v>11.0875</v>
      </c>
      <c r="BK26" s="149">
        <v>12.5</v>
      </c>
      <c r="BL26" s="149">
        <v>10.5</v>
      </c>
      <c r="BM26" s="149">
        <v>9</v>
      </c>
      <c r="BN26" s="149">
        <v>13</v>
      </c>
      <c r="BO26" s="149"/>
      <c r="BP26" s="199">
        <f t="shared" si="16"/>
        <v>11.25</v>
      </c>
      <c r="BQ26" s="160">
        <v>11</v>
      </c>
      <c r="BR26" s="200">
        <f t="shared" si="19"/>
        <v>0</v>
      </c>
    </row>
    <row r="27" spans="1:70" ht="14.25" thickBot="1">
      <c r="A27" s="223" t="s">
        <v>102</v>
      </c>
      <c r="B27" s="223" t="s">
        <v>691</v>
      </c>
      <c r="C27" s="224" t="s">
        <v>271</v>
      </c>
      <c r="D27" s="224">
        <v>4</v>
      </c>
      <c r="E27" s="225">
        <v>0.55138888888888904</v>
      </c>
      <c r="F27" s="225">
        <v>0.57144675925925925</v>
      </c>
      <c r="G27" s="225">
        <v>0.70906249999999993</v>
      </c>
      <c r="H27" s="209">
        <f t="shared" si="1"/>
        <v>2.0057870370370212E-2</v>
      </c>
      <c r="I27" s="209">
        <f>H27-MIN(H$25:H$28)</f>
        <v>0</v>
      </c>
      <c r="J27" s="209">
        <f t="shared" si="3"/>
        <v>0.15767361111111089</v>
      </c>
      <c r="K27" s="225">
        <v>0.15972222222222224</v>
      </c>
      <c r="L27" s="225">
        <v>0.31736111111111098</v>
      </c>
      <c r="M27" s="225">
        <v>0.33785879629629628</v>
      </c>
      <c r="N27" s="225"/>
      <c r="O27" s="209">
        <f t="shared" si="4"/>
        <v>2.0497685185185299E-2</v>
      </c>
      <c r="P27" s="209">
        <f>O27-MIN(O$25:O$28)</f>
        <v>8.1018518518571891E-4</v>
      </c>
      <c r="Q27" s="209">
        <f t="shared" si="6"/>
        <v>-0.31736111111111098</v>
      </c>
      <c r="R27" s="225">
        <v>0.1875</v>
      </c>
      <c r="S27" s="226">
        <v>2</v>
      </c>
      <c r="T27" s="226">
        <v>2</v>
      </c>
      <c r="U27" s="226">
        <v>1</v>
      </c>
      <c r="V27" s="226">
        <v>2.4</v>
      </c>
      <c r="W27" s="239">
        <f t="shared" si="7"/>
        <v>15</v>
      </c>
      <c r="X27" s="239">
        <f t="shared" si="8"/>
        <v>14.4</v>
      </c>
      <c r="Y27" s="239">
        <f t="shared" si="9"/>
        <v>5</v>
      </c>
      <c r="Z27" s="239">
        <f t="shared" si="10"/>
        <v>5</v>
      </c>
      <c r="AA27" s="226">
        <v>8</v>
      </c>
      <c r="AB27" s="226">
        <v>7</v>
      </c>
      <c r="AC27" s="226">
        <v>3.6</v>
      </c>
      <c r="AD27" s="226">
        <v>4</v>
      </c>
      <c r="AE27" s="226">
        <v>1.6</v>
      </c>
      <c r="AF27" s="239">
        <f t="shared" si="11"/>
        <v>4</v>
      </c>
      <c r="AG27" s="226">
        <v>3.4</v>
      </c>
      <c r="AH27" s="226">
        <v>1.2</v>
      </c>
      <c r="AI27" s="226">
        <v>6</v>
      </c>
      <c r="AJ27" s="239">
        <f t="shared" si="12"/>
        <v>3.4</v>
      </c>
      <c r="AK27" s="226">
        <v>3</v>
      </c>
      <c r="AL27" s="226">
        <v>4.8</v>
      </c>
      <c r="AM27" s="239">
        <f t="shared" si="0"/>
        <v>89.4</v>
      </c>
      <c r="AN27" s="244">
        <f>RANK(AM27,$AM$25:$AM$27)</f>
        <v>2</v>
      </c>
      <c r="AO27" s="223"/>
      <c r="AP27" s="244">
        <f>RANK(I27,$I$25:$I$27,1)</f>
        <v>1</v>
      </c>
      <c r="AQ27" s="149">
        <v>13.05</v>
      </c>
      <c r="AR27" s="149">
        <v>12.45</v>
      </c>
      <c r="AS27" s="149">
        <v>12.6</v>
      </c>
      <c r="AT27" s="149">
        <v>12.4</v>
      </c>
      <c r="AU27" s="149"/>
      <c r="AV27" s="197">
        <f t="shared" si="17"/>
        <v>12.625</v>
      </c>
      <c r="AW27" s="149">
        <v>12.55</v>
      </c>
      <c r="AX27" s="149">
        <v>12.35</v>
      </c>
      <c r="AY27" s="149">
        <v>12.55</v>
      </c>
      <c r="AZ27" s="149">
        <v>12.45</v>
      </c>
      <c r="BA27" s="81"/>
      <c r="BB27" s="199">
        <f t="shared" si="20"/>
        <v>12.475000000000001</v>
      </c>
      <c r="BC27" s="160">
        <v>12</v>
      </c>
      <c r="BD27" s="200">
        <f t="shared" si="18"/>
        <v>0</v>
      </c>
      <c r="BE27" s="149">
        <v>11.75</v>
      </c>
      <c r="BF27" s="149">
        <v>11.9</v>
      </c>
      <c r="BG27" s="149">
        <v>12.1</v>
      </c>
      <c r="BH27" s="149">
        <v>12</v>
      </c>
      <c r="BI27" s="81"/>
      <c r="BJ27" s="199">
        <f>AVERAGE(BE27:BH27)</f>
        <v>11.9375</v>
      </c>
      <c r="BK27" s="149">
        <v>12</v>
      </c>
      <c r="BL27" s="149">
        <v>12</v>
      </c>
      <c r="BM27" s="149">
        <v>12</v>
      </c>
      <c r="BN27" s="149">
        <v>11.5</v>
      </c>
      <c r="BO27" s="149"/>
      <c r="BP27" s="199">
        <f t="shared" si="16"/>
        <v>11.875</v>
      </c>
      <c r="BQ27" s="160">
        <v>11</v>
      </c>
      <c r="BR27" s="200">
        <f t="shared" si="19"/>
        <v>0</v>
      </c>
    </row>
    <row r="28" spans="1:70" ht="14.25" thickBot="1">
      <c r="A28" s="231" t="s">
        <v>121</v>
      </c>
      <c r="B28" s="231" t="s">
        <v>179</v>
      </c>
      <c r="C28" s="232" t="s">
        <v>277</v>
      </c>
      <c r="D28" s="232">
        <v>4</v>
      </c>
      <c r="E28" s="233">
        <v>0.55208333333333304</v>
      </c>
      <c r="F28" s="233">
        <v>0.58135416666666673</v>
      </c>
      <c r="G28" s="233">
        <v>0.71978009259259268</v>
      </c>
      <c r="H28" s="211">
        <f>F28-E28</f>
        <v>2.927083333333369E-2</v>
      </c>
      <c r="I28" s="211">
        <f>H28-MIN(H$25:H$28)</f>
        <v>9.2129629629634779E-3</v>
      </c>
      <c r="J28" s="211">
        <f>G28-E28</f>
        <v>0.16769675925925964</v>
      </c>
      <c r="K28" s="233">
        <v>0.15972222222222224</v>
      </c>
      <c r="L28" s="233">
        <v>0.31944444444444398</v>
      </c>
      <c r="M28" s="233">
        <v>0.34803240740740743</v>
      </c>
      <c r="N28" s="233"/>
      <c r="O28" s="211">
        <f>M28-L28</f>
        <v>2.8587962962963454E-2</v>
      </c>
      <c r="P28" s="211">
        <f>O28-MIN(O$25:O$28)</f>
        <v>8.9004629629638732E-3</v>
      </c>
      <c r="Q28" s="211">
        <f t="shared" si="6"/>
        <v>-0.31944444444444398</v>
      </c>
      <c r="R28" s="233">
        <v>0.1875</v>
      </c>
      <c r="S28" s="234">
        <v>0</v>
      </c>
      <c r="T28" s="234">
        <v>0</v>
      </c>
      <c r="U28" s="234">
        <v>0.5</v>
      </c>
      <c r="V28" s="234">
        <v>1.3</v>
      </c>
      <c r="W28" s="241">
        <f t="shared" si="7"/>
        <v>8.4</v>
      </c>
      <c r="X28" s="241">
        <f t="shared" si="8"/>
        <v>8.6</v>
      </c>
      <c r="Y28" s="241">
        <f t="shared" si="9"/>
        <v>2.7</v>
      </c>
      <c r="Z28" s="241">
        <f t="shared" si="10"/>
        <v>5</v>
      </c>
      <c r="AA28" s="234">
        <v>8.1</v>
      </c>
      <c r="AB28" s="234">
        <v>7.8</v>
      </c>
      <c r="AC28" s="234">
        <v>3.6</v>
      </c>
      <c r="AD28" s="234">
        <v>1</v>
      </c>
      <c r="AE28" s="234">
        <v>0.8</v>
      </c>
      <c r="AF28" s="241">
        <f t="shared" si="11"/>
        <v>0</v>
      </c>
      <c r="AG28" s="234">
        <v>3.2</v>
      </c>
      <c r="AH28" s="234">
        <v>0.8</v>
      </c>
      <c r="AI28" s="234">
        <v>5.8</v>
      </c>
      <c r="AJ28" s="241">
        <f t="shared" si="12"/>
        <v>1.8</v>
      </c>
      <c r="AK28" s="234">
        <v>3</v>
      </c>
      <c r="AL28" s="234">
        <v>5</v>
      </c>
      <c r="AM28" s="241">
        <f t="shared" si="0"/>
        <v>65.599999999999994</v>
      </c>
      <c r="AN28" s="246">
        <f>RANK(AM28,$AM$28:$AM$28)</f>
        <v>1</v>
      </c>
      <c r="AO28" s="231"/>
      <c r="AP28" s="246">
        <f>RANK(I28,$I$28:$I$28,1)</f>
        <v>1</v>
      </c>
      <c r="AQ28" s="149">
        <v>12.75</v>
      </c>
      <c r="AR28" s="149">
        <v>12.7</v>
      </c>
      <c r="AS28" s="149">
        <v>12.4</v>
      </c>
      <c r="AT28" s="149">
        <v>12.2</v>
      </c>
      <c r="AU28" s="149"/>
      <c r="AV28" s="197">
        <f>AVERAGE(AQ28:AU28)</f>
        <v>12.512499999999999</v>
      </c>
      <c r="AW28" s="149">
        <v>11.85</v>
      </c>
      <c r="AX28" s="149">
        <v>12.35</v>
      </c>
      <c r="AY28" s="149">
        <v>12</v>
      </c>
      <c r="AZ28" s="149">
        <v>12.35</v>
      </c>
      <c r="BA28" s="81"/>
      <c r="BB28" s="199">
        <f t="shared" si="20"/>
        <v>12.137500000000001</v>
      </c>
      <c r="BC28" s="160">
        <v>12</v>
      </c>
      <c r="BD28" s="200">
        <f t="shared" si="18"/>
        <v>0</v>
      </c>
      <c r="BE28" s="149">
        <v>12.65</v>
      </c>
      <c r="BF28" s="149">
        <v>11.25</v>
      </c>
      <c r="BG28" s="149">
        <v>9.6999999999999993</v>
      </c>
      <c r="BH28" s="149">
        <v>11.55</v>
      </c>
      <c r="BI28" s="81"/>
      <c r="BJ28" s="199">
        <f>AVERAGE(BE28:BH28)</f>
        <v>11.287499999999998</v>
      </c>
      <c r="BK28" s="149">
        <v>10.199999999999999</v>
      </c>
      <c r="BL28" s="149">
        <v>11.5</v>
      </c>
      <c r="BM28" s="149">
        <v>12</v>
      </c>
      <c r="BN28" s="149">
        <v>10.8</v>
      </c>
      <c r="BO28" s="149"/>
      <c r="BP28" s="199">
        <f>AVERAGE(BK28:BN28)</f>
        <v>11.125</v>
      </c>
      <c r="BQ28" s="160">
        <v>11</v>
      </c>
      <c r="BR28" s="200">
        <f t="shared" si="19"/>
        <v>0</v>
      </c>
    </row>
    <row r="29" spans="1:70">
      <c r="A29" s="227" t="s">
        <v>103</v>
      </c>
      <c r="B29" s="227" t="s">
        <v>688</v>
      </c>
      <c r="C29" s="228"/>
      <c r="D29" s="228">
        <v>4</v>
      </c>
      <c r="E29" s="229"/>
      <c r="F29" s="229"/>
      <c r="G29" s="229"/>
      <c r="H29" s="210"/>
      <c r="I29" s="210"/>
      <c r="J29" s="210"/>
      <c r="K29" s="229"/>
      <c r="L29" s="229"/>
      <c r="M29" s="229"/>
      <c r="N29" s="229"/>
      <c r="O29" s="210"/>
      <c r="P29" s="210"/>
      <c r="Q29" s="210"/>
      <c r="R29" s="229"/>
      <c r="S29" s="230"/>
      <c r="T29" s="230"/>
      <c r="U29" s="230"/>
      <c r="V29" s="230"/>
      <c r="W29" s="240"/>
      <c r="X29" s="240"/>
      <c r="Y29" s="240"/>
      <c r="Z29" s="240"/>
      <c r="AA29" s="230"/>
      <c r="AB29" s="230"/>
      <c r="AC29" s="230"/>
      <c r="AD29" s="230"/>
      <c r="AE29" s="230"/>
      <c r="AF29" s="240"/>
      <c r="AG29" s="230"/>
      <c r="AH29" s="230"/>
      <c r="AI29" s="230"/>
      <c r="AJ29" s="240"/>
      <c r="AK29" s="230"/>
      <c r="AL29" s="230"/>
      <c r="AM29" s="240"/>
      <c r="AN29" s="245"/>
      <c r="AO29" s="227"/>
      <c r="AP29" s="245"/>
      <c r="AQ29" s="81"/>
      <c r="AR29" s="81"/>
      <c r="AS29" s="81"/>
      <c r="AT29" s="81"/>
      <c r="AU29" s="81"/>
      <c r="AV29" s="199"/>
      <c r="AW29" s="81"/>
      <c r="AX29" s="81"/>
      <c r="AY29" s="81"/>
      <c r="AZ29" s="81"/>
      <c r="BA29" s="81"/>
      <c r="BB29" s="199"/>
      <c r="BC29" s="81"/>
      <c r="BD29" s="81"/>
      <c r="BE29" s="81"/>
      <c r="BF29" s="81"/>
      <c r="BG29" s="81"/>
      <c r="BH29" s="81"/>
      <c r="BI29" s="81"/>
      <c r="BJ29" s="199"/>
      <c r="BK29" s="81"/>
      <c r="BL29" s="81"/>
      <c r="BM29" s="81"/>
      <c r="BN29" s="81"/>
      <c r="BO29" s="81"/>
      <c r="BP29" s="199"/>
      <c r="BQ29" s="81"/>
      <c r="BR29" s="81"/>
    </row>
    <row r="30" spans="1:70">
      <c r="A30" s="218" t="s">
        <v>103</v>
      </c>
      <c r="B30" s="218" t="s">
        <v>592</v>
      </c>
      <c r="C30" s="219"/>
      <c r="D30" s="219">
        <v>3</v>
      </c>
      <c r="E30" s="220"/>
      <c r="F30" s="220"/>
      <c r="G30" s="220"/>
      <c r="H30" s="208"/>
      <c r="I30" s="208"/>
      <c r="J30" s="208"/>
      <c r="K30" s="220"/>
      <c r="L30" s="220"/>
      <c r="M30" s="220"/>
      <c r="N30" s="220"/>
      <c r="O30" s="208"/>
      <c r="P30" s="208"/>
      <c r="Q30" s="208"/>
      <c r="R30" s="220"/>
      <c r="S30" s="221"/>
      <c r="T30" s="221"/>
      <c r="U30" s="221"/>
      <c r="V30" s="221"/>
      <c r="W30" s="238"/>
      <c r="X30" s="238"/>
      <c r="Y30" s="238"/>
      <c r="Z30" s="238"/>
      <c r="AA30" s="221"/>
      <c r="AB30" s="221"/>
      <c r="AC30" s="221"/>
      <c r="AD30" s="221"/>
      <c r="AE30" s="221"/>
      <c r="AF30" s="238"/>
      <c r="AG30" s="221"/>
      <c r="AH30" s="221"/>
      <c r="AI30" s="221"/>
      <c r="AJ30" s="238"/>
      <c r="AK30" s="221"/>
      <c r="AL30" s="221"/>
      <c r="AM30" s="238"/>
      <c r="AN30" s="243"/>
      <c r="AO30" s="218"/>
      <c r="AP30" s="243"/>
      <c r="BJ30" s="199"/>
    </row>
    <row r="31" spans="1:70">
      <c r="A31" s="218" t="s">
        <v>103</v>
      </c>
      <c r="B31" s="218" t="s">
        <v>69</v>
      </c>
      <c r="C31" s="219"/>
      <c r="D31" s="219">
        <v>4</v>
      </c>
      <c r="E31" s="220"/>
      <c r="F31" s="220"/>
      <c r="G31" s="220"/>
      <c r="H31" s="208"/>
      <c r="I31" s="208"/>
      <c r="J31" s="208"/>
      <c r="K31" s="220"/>
      <c r="L31" s="220"/>
      <c r="M31" s="220"/>
      <c r="N31" s="220"/>
      <c r="O31" s="208"/>
      <c r="P31" s="208"/>
      <c r="Q31" s="208"/>
      <c r="R31" s="220"/>
      <c r="S31" s="221"/>
      <c r="T31" s="221"/>
      <c r="U31" s="221"/>
      <c r="V31" s="221"/>
      <c r="W31" s="238"/>
      <c r="X31" s="238"/>
      <c r="Y31" s="238"/>
      <c r="Z31" s="238"/>
      <c r="AA31" s="221"/>
      <c r="AB31" s="221"/>
      <c r="AC31" s="221"/>
      <c r="AD31" s="221"/>
      <c r="AE31" s="221"/>
      <c r="AF31" s="238"/>
      <c r="AG31" s="221"/>
      <c r="AH31" s="221"/>
      <c r="AI31" s="221"/>
      <c r="AJ31" s="238"/>
      <c r="AK31" s="221"/>
      <c r="AL31" s="221"/>
      <c r="AM31" s="238"/>
      <c r="AN31" s="243"/>
      <c r="AO31" s="218"/>
      <c r="AP31" s="243"/>
      <c r="BJ31" s="199"/>
    </row>
    <row r="32" spans="1:70">
      <c r="A32" s="218" t="s">
        <v>103</v>
      </c>
      <c r="B32" s="218" t="s">
        <v>29</v>
      </c>
      <c r="C32" s="219"/>
      <c r="D32" s="219">
        <v>1</v>
      </c>
      <c r="E32" s="220"/>
      <c r="F32" s="220"/>
      <c r="G32" s="220"/>
      <c r="H32" s="208"/>
      <c r="I32" s="208"/>
      <c r="J32" s="208"/>
      <c r="K32" s="220"/>
      <c r="L32" s="220"/>
      <c r="M32" s="220"/>
      <c r="N32" s="220"/>
      <c r="O32" s="208"/>
      <c r="P32" s="208"/>
      <c r="Q32" s="208"/>
      <c r="R32" s="220"/>
      <c r="S32" s="221"/>
      <c r="T32" s="221"/>
      <c r="U32" s="221"/>
      <c r="V32" s="221"/>
      <c r="W32" s="238"/>
      <c r="X32" s="238"/>
      <c r="Y32" s="238"/>
      <c r="Z32" s="238"/>
      <c r="AA32" s="221"/>
      <c r="AB32" s="221"/>
      <c r="AC32" s="221"/>
      <c r="AD32" s="221"/>
      <c r="AE32" s="221"/>
      <c r="AF32" s="238"/>
      <c r="AG32" s="221"/>
      <c r="AH32" s="221"/>
      <c r="AI32" s="221"/>
      <c r="AJ32" s="238"/>
      <c r="AK32" s="221"/>
      <c r="AL32" s="221"/>
      <c r="AM32" s="238"/>
      <c r="AN32" s="243"/>
      <c r="AO32" s="218"/>
      <c r="AP32" s="243"/>
    </row>
    <row r="33" spans="1:42">
      <c r="A33" s="218" t="s">
        <v>103</v>
      </c>
      <c r="B33" s="218" t="s">
        <v>234</v>
      </c>
      <c r="C33" s="219"/>
      <c r="D33" s="219">
        <v>2</v>
      </c>
      <c r="E33" s="220"/>
      <c r="F33" s="220"/>
      <c r="G33" s="220"/>
      <c r="H33" s="208"/>
      <c r="I33" s="208"/>
      <c r="J33" s="208"/>
      <c r="K33" s="220"/>
      <c r="L33" s="220"/>
      <c r="M33" s="220"/>
      <c r="N33" s="220"/>
      <c r="O33" s="208"/>
      <c r="P33" s="208"/>
      <c r="Q33" s="208"/>
      <c r="R33" s="220"/>
      <c r="S33" s="221"/>
      <c r="T33" s="221"/>
      <c r="U33" s="221"/>
      <c r="V33" s="221"/>
      <c r="W33" s="238"/>
      <c r="X33" s="238"/>
      <c r="Y33" s="238"/>
      <c r="Z33" s="238"/>
      <c r="AA33" s="221"/>
      <c r="AB33" s="221"/>
      <c r="AC33" s="221"/>
      <c r="AD33" s="221"/>
      <c r="AE33" s="221"/>
      <c r="AF33" s="238"/>
      <c r="AG33" s="221"/>
      <c r="AH33" s="221"/>
      <c r="AI33" s="221"/>
      <c r="AJ33" s="238"/>
      <c r="AK33" s="221"/>
      <c r="AL33" s="221"/>
      <c r="AM33" s="238"/>
      <c r="AN33" s="243"/>
      <c r="AO33" s="218"/>
      <c r="AP33" s="243"/>
    </row>
    <row r="34" spans="1:42">
      <c r="A34" s="218" t="s">
        <v>689</v>
      </c>
      <c r="B34" s="218" t="s">
        <v>641</v>
      </c>
      <c r="C34" s="219"/>
      <c r="D34" s="219">
        <v>2</v>
      </c>
      <c r="E34" s="220"/>
      <c r="F34" s="220"/>
      <c r="G34" s="220"/>
      <c r="H34" s="208"/>
      <c r="I34" s="208"/>
      <c r="J34" s="208"/>
      <c r="K34" s="220"/>
      <c r="L34" s="220"/>
      <c r="M34" s="220"/>
      <c r="N34" s="220"/>
      <c r="O34" s="208"/>
      <c r="P34" s="208"/>
      <c r="Q34" s="208"/>
      <c r="R34" s="220"/>
      <c r="S34" s="221"/>
      <c r="T34" s="221"/>
      <c r="U34" s="221"/>
      <c r="V34" s="221"/>
      <c r="W34" s="238"/>
      <c r="X34" s="238"/>
      <c r="Y34" s="238"/>
      <c r="Z34" s="238"/>
      <c r="AA34" s="221"/>
      <c r="AB34" s="221"/>
      <c r="AC34" s="221"/>
      <c r="AD34" s="221"/>
      <c r="AE34" s="221"/>
      <c r="AF34" s="238"/>
      <c r="AG34" s="221"/>
      <c r="AH34" s="221"/>
      <c r="AI34" s="221"/>
      <c r="AJ34" s="238"/>
      <c r="AK34" s="221"/>
      <c r="AL34" s="221"/>
      <c r="AM34" s="238"/>
      <c r="AN34" s="243"/>
      <c r="AO34" s="218"/>
      <c r="AP34" s="243"/>
    </row>
    <row r="35" spans="1:42">
      <c r="A35" s="218" t="s">
        <v>104</v>
      </c>
      <c r="B35" s="218" t="s">
        <v>688</v>
      </c>
      <c r="C35" s="219"/>
      <c r="D35" s="219">
        <v>1</v>
      </c>
      <c r="E35" s="220"/>
      <c r="F35" s="220"/>
      <c r="G35" s="220"/>
      <c r="H35" s="208"/>
      <c r="I35" s="208"/>
      <c r="J35" s="208"/>
      <c r="K35" s="220"/>
      <c r="L35" s="220"/>
      <c r="M35" s="220"/>
      <c r="N35" s="220"/>
      <c r="O35" s="208"/>
      <c r="P35" s="208"/>
      <c r="Q35" s="208"/>
      <c r="R35" s="220"/>
      <c r="S35" s="221"/>
      <c r="T35" s="221"/>
      <c r="U35" s="221"/>
      <c r="V35" s="221"/>
      <c r="W35" s="238"/>
      <c r="X35" s="238"/>
      <c r="Y35" s="238"/>
      <c r="Z35" s="238"/>
      <c r="AA35" s="221"/>
      <c r="AB35" s="221"/>
      <c r="AC35" s="221"/>
      <c r="AD35" s="221"/>
      <c r="AE35" s="221"/>
      <c r="AF35" s="238"/>
      <c r="AG35" s="221"/>
      <c r="AH35" s="221"/>
      <c r="AI35" s="221"/>
      <c r="AJ35" s="238"/>
      <c r="AK35" s="221"/>
      <c r="AL35" s="221"/>
      <c r="AM35" s="238"/>
      <c r="AN35" s="243"/>
      <c r="AO35" s="218"/>
      <c r="AP35" s="243"/>
    </row>
    <row r="36" spans="1:42">
      <c r="A36" s="218" t="s">
        <v>104</v>
      </c>
      <c r="B36" s="218" t="s">
        <v>122</v>
      </c>
      <c r="C36" s="219"/>
      <c r="D36" s="219">
        <v>2</v>
      </c>
      <c r="E36" s="220"/>
      <c r="F36" s="220"/>
      <c r="G36" s="220"/>
      <c r="H36" s="208"/>
      <c r="I36" s="208"/>
      <c r="J36" s="208"/>
      <c r="K36" s="220"/>
      <c r="L36" s="220"/>
      <c r="M36" s="220"/>
      <c r="N36" s="220"/>
      <c r="O36" s="208"/>
      <c r="P36" s="208"/>
      <c r="Q36" s="208"/>
      <c r="R36" s="220"/>
      <c r="S36" s="221"/>
      <c r="T36" s="221"/>
      <c r="U36" s="221"/>
      <c r="V36" s="221"/>
      <c r="W36" s="238"/>
      <c r="X36" s="238"/>
      <c r="Y36" s="238"/>
      <c r="Z36" s="238"/>
      <c r="AA36" s="221"/>
      <c r="AB36" s="221"/>
      <c r="AC36" s="221"/>
      <c r="AD36" s="221"/>
      <c r="AE36" s="221"/>
      <c r="AF36" s="238"/>
      <c r="AG36" s="221"/>
      <c r="AH36" s="221"/>
      <c r="AI36" s="221"/>
      <c r="AJ36" s="238"/>
      <c r="AK36" s="221"/>
      <c r="AL36" s="221"/>
      <c r="AM36" s="238"/>
      <c r="AN36" s="243"/>
      <c r="AO36" s="218"/>
      <c r="AP36" s="243"/>
    </row>
    <row r="37" spans="1:42">
      <c r="A37" s="218" t="s">
        <v>104</v>
      </c>
      <c r="B37" s="218" t="s">
        <v>690</v>
      </c>
      <c r="C37" s="219"/>
      <c r="D37" s="219">
        <v>3</v>
      </c>
      <c r="E37" s="220"/>
      <c r="F37" s="220"/>
      <c r="G37" s="220"/>
      <c r="H37" s="208"/>
      <c r="I37" s="208"/>
      <c r="J37" s="208"/>
      <c r="K37" s="220"/>
      <c r="L37" s="220"/>
      <c r="M37" s="220"/>
      <c r="N37" s="220"/>
      <c r="O37" s="208"/>
      <c r="P37" s="208"/>
      <c r="Q37" s="208"/>
      <c r="R37" s="220"/>
      <c r="S37" s="221"/>
      <c r="T37" s="221"/>
      <c r="U37" s="221"/>
      <c r="V37" s="221"/>
      <c r="W37" s="238"/>
      <c r="X37" s="238"/>
      <c r="Y37" s="238"/>
      <c r="Z37" s="238"/>
      <c r="AA37" s="221"/>
      <c r="AB37" s="221"/>
      <c r="AC37" s="221"/>
      <c r="AD37" s="221"/>
      <c r="AE37" s="221"/>
      <c r="AF37" s="238"/>
      <c r="AG37" s="221"/>
      <c r="AH37" s="221"/>
      <c r="AI37" s="221"/>
      <c r="AJ37" s="238"/>
      <c r="AK37" s="221"/>
      <c r="AL37" s="221"/>
      <c r="AM37" s="238"/>
      <c r="AN37" s="243"/>
      <c r="AO37" s="218"/>
      <c r="AP37" s="243"/>
    </row>
    <row r="38" spans="1:42">
      <c r="A38" s="218" t="s">
        <v>104</v>
      </c>
      <c r="B38" s="218" t="s">
        <v>182</v>
      </c>
      <c r="C38" s="219"/>
      <c r="D38" s="219">
        <v>3</v>
      </c>
      <c r="E38" s="220"/>
      <c r="F38" s="220"/>
      <c r="G38" s="220"/>
      <c r="H38" s="208"/>
      <c r="I38" s="208"/>
      <c r="J38" s="208"/>
      <c r="K38" s="220"/>
      <c r="L38" s="220"/>
      <c r="M38" s="220"/>
      <c r="N38" s="220"/>
      <c r="O38" s="208"/>
      <c r="P38" s="208"/>
      <c r="Q38" s="208"/>
      <c r="R38" s="220"/>
      <c r="S38" s="221"/>
      <c r="T38" s="221"/>
      <c r="U38" s="221"/>
      <c r="V38" s="221"/>
      <c r="W38" s="238"/>
      <c r="X38" s="238"/>
      <c r="Y38" s="238"/>
      <c r="Z38" s="238"/>
      <c r="AA38" s="221"/>
      <c r="AB38" s="221"/>
      <c r="AC38" s="221"/>
      <c r="AD38" s="221"/>
      <c r="AE38" s="221"/>
      <c r="AF38" s="238"/>
      <c r="AG38" s="221"/>
      <c r="AH38" s="221"/>
      <c r="AI38" s="221"/>
      <c r="AJ38" s="238"/>
      <c r="AK38" s="221"/>
      <c r="AL38" s="221"/>
      <c r="AM38" s="238"/>
      <c r="AN38" s="243"/>
      <c r="AO38" s="218"/>
      <c r="AP38" s="243"/>
    </row>
    <row r="39" spans="1:42">
      <c r="B39" s="81" t="s">
        <v>698</v>
      </c>
    </row>
    <row r="40" spans="1:42">
      <c r="B40" s="81" t="s">
        <v>694</v>
      </c>
      <c r="E40" s="191"/>
      <c r="F40" s="191"/>
      <c r="I40" s="192"/>
      <c r="J40" s="192"/>
      <c r="N40" s="193"/>
      <c r="O40" s="193"/>
      <c r="P40" s="193"/>
      <c r="Q40" s="193"/>
      <c r="R40" s="193"/>
      <c r="S40" s="193"/>
      <c r="T40" s="193"/>
      <c r="V40" s="198"/>
      <c r="W40" s="193">
        <f>MAX(W3:W38)</f>
        <v>15</v>
      </c>
      <c r="X40" s="193">
        <f t="shared" ref="X40:AM40" si="24">MAX(X3:X38)</f>
        <v>15</v>
      </c>
      <c r="Y40" s="193">
        <f t="shared" si="24"/>
        <v>5</v>
      </c>
      <c r="Z40" s="193">
        <f t="shared" si="24"/>
        <v>5</v>
      </c>
      <c r="AA40" s="193">
        <f t="shared" si="24"/>
        <v>10</v>
      </c>
      <c r="AB40" s="193">
        <f t="shared" si="24"/>
        <v>8</v>
      </c>
      <c r="AC40" s="193">
        <f t="shared" si="24"/>
        <v>4</v>
      </c>
      <c r="AD40" s="193">
        <f t="shared" si="24"/>
        <v>4.9000000000000004</v>
      </c>
      <c r="AE40" s="193">
        <f t="shared" si="24"/>
        <v>1.9</v>
      </c>
      <c r="AF40" s="193">
        <f t="shared" si="24"/>
        <v>7</v>
      </c>
      <c r="AG40" s="193">
        <f t="shared" si="24"/>
        <v>4</v>
      </c>
      <c r="AH40" s="193">
        <f t="shared" si="24"/>
        <v>2</v>
      </c>
      <c r="AI40" s="193">
        <f t="shared" si="24"/>
        <v>6</v>
      </c>
      <c r="AJ40" s="193">
        <f t="shared" si="24"/>
        <v>4</v>
      </c>
      <c r="AK40" s="193">
        <f t="shared" si="24"/>
        <v>3</v>
      </c>
      <c r="AL40" s="193">
        <f t="shared" si="24"/>
        <v>5</v>
      </c>
      <c r="AM40" s="193">
        <f t="shared" si="24"/>
        <v>99.600000000000009</v>
      </c>
    </row>
    <row r="41" spans="1:42">
      <c r="B41" s="81" t="s">
        <v>695</v>
      </c>
      <c r="E41" s="191"/>
      <c r="F41" s="191"/>
      <c r="I41" s="192"/>
      <c r="J41" s="192"/>
      <c r="N41" s="193"/>
      <c r="O41" s="193"/>
      <c r="P41" s="193"/>
      <c r="Q41" s="193"/>
      <c r="R41" s="193"/>
      <c r="S41" s="193"/>
      <c r="T41" s="193"/>
      <c r="V41" s="198"/>
      <c r="W41" s="193">
        <f>MIN(W3:W38)</f>
        <v>5.2</v>
      </c>
      <c r="X41" s="193">
        <f t="shared" ref="X41:AM41" si="25">MIN(X3:X38)</f>
        <v>4.2</v>
      </c>
      <c r="Y41" s="193">
        <f t="shared" si="25"/>
        <v>0</v>
      </c>
      <c r="Z41" s="193">
        <f t="shared" si="25"/>
        <v>5</v>
      </c>
      <c r="AA41" s="193">
        <f t="shared" si="25"/>
        <v>5.6</v>
      </c>
      <c r="AB41" s="193">
        <f t="shared" si="25"/>
        <v>5.5</v>
      </c>
      <c r="AC41" s="193">
        <f t="shared" si="25"/>
        <v>2.2000000000000002</v>
      </c>
      <c r="AD41" s="193">
        <f t="shared" si="25"/>
        <v>0</v>
      </c>
      <c r="AE41" s="193">
        <f t="shared" si="25"/>
        <v>0.8</v>
      </c>
      <c r="AF41" s="193">
        <f t="shared" si="25"/>
        <v>0</v>
      </c>
      <c r="AG41" s="193">
        <f t="shared" si="25"/>
        <v>2</v>
      </c>
      <c r="AH41" s="193">
        <f t="shared" si="25"/>
        <v>0.8</v>
      </c>
      <c r="AI41" s="193">
        <f t="shared" si="25"/>
        <v>3.4</v>
      </c>
      <c r="AJ41" s="193">
        <f t="shared" si="25"/>
        <v>0.5</v>
      </c>
      <c r="AK41" s="193">
        <f t="shared" si="25"/>
        <v>2</v>
      </c>
      <c r="AL41" s="193">
        <f t="shared" si="25"/>
        <v>4.3</v>
      </c>
      <c r="AM41" s="193">
        <f t="shared" si="25"/>
        <v>52.6</v>
      </c>
    </row>
    <row r="42" spans="1:42">
      <c r="B42" s="81" t="s">
        <v>696</v>
      </c>
      <c r="E42" s="191"/>
      <c r="F42" s="191"/>
      <c r="I42" s="192"/>
      <c r="J42" s="192"/>
      <c r="N42" s="193"/>
      <c r="O42" s="193"/>
      <c r="P42" s="193"/>
      <c r="Q42" s="193"/>
      <c r="R42" s="193"/>
      <c r="S42" s="193"/>
      <c r="T42" s="193"/>
      <c r="V42" s="198"/>
      <c r="W42" s="193">
        <f>AVERAGE(W3:W38)</f>
        <v>11.099999999999998</v>
      </c>
      <c r="X42" s="193">
        <f t="shared" ref="X42:AM42" si="26">AVERAGE(X3:X38)</f>
        <v>11.5</v>
      </c>
      <c r="Y42" s="193">
        <f t="shared" si="26"/>
        <v>4.342307692307692</v>
      </c>
      <c r="Z42" s="193">
        <f t="shared" si="26"/>
        <v>5</v>
      </c>
      <c r="AA42" s="193">
        <f t="shared" si="26"/>
        <v>8.4961538461538453</v>
      </c>
      <c r="AB42" s="193">
        <f t="shared" si="26"/>
        <v>7.5115384615384624</v>
      </c>
      <c r="AC42" s="193">
        <f t="shared" si="26"/>
        <v>3.5999999999999992</v>
      </c>
      <c r="AD42" s="193">
        <f t="shared" si="26"/>
        <v>2.3269230769230766</v>
      </c>
      <c r="AE42" s="193">
        <f t="shared" si="26"/>
        <v>1.4499999999999997</v>
      </c>
      <c r="AF42" s="193">
        <f t="shared" si="26"/>
        <v>2.9230769230769229</v>
      </c>
      <c r="AG42" s="193">
        <f t="shared" si="26"/>
        <v>3.2076923076923074</v>
      </c>
      <c r="AH42" s="193">
        <f t="shared" si="26"/>
        <v>1.5153846153846153</v>
      </c>
      <c r="AI42" s="193">
        <f t="shared" si="26"/>
        <v>5.4346153846153848</v>
      </c>
      <c r="AJ42" s="193">
        <f t="shared" si="26"/>
        <v>2.5076923076923072</v>
      </c>
      <c r="AK42" s="193">
        <f t="shared" si="26"/>
        <v>2.8846153846153846</v>
      </c>
      <c r="AL42" s="193">
        <f t="shared" si="26"/>
        <v>4.8846153846153841</v>
      </c>
      <c r="AM42" s="193">
        <f t="shared" si="26"/>
        <v>78.68461538461537</v>
      </c>
    </row>
    <row r="43" spans="1:42">
      <c r="B43" s="81" t="s">
        <v>697</v>
      </c>
      <c r="E43" s="191"/>
      <c r="F43" s="191"/>
      <c r="I43" s="192"/>
      <c r="J43" s="192"/>
      <c r="N43" s="193"/>
      <c r="O43" s="193"/>
      <c r="P43" s="204"/>
      <c r="Q43" s="204"/>
      <c r="R43" s="204"/>
      <c r="S43" s="204"/>
      <c r="T43" s="204"/>
      <c r="V43" s="198"/>
      <c r="W43" s="205">
        <f t="shared" ref="W43:AM43" si="27">W42/W2</f>
        <v>0.73999999999999988</v>
      </c>
      <c r="X43" s="205">
        <f t="shared" si="27"/>
        <v>0.76666666666666672</v>
      </c>
      <c r="Y43" s="205">
        <f t="shared" si="27"/>
        <v>0.8684615384615384</v>
      </c>
      <c r="Z43" s="205">
        <f t="shared" si="27"/>
        <v>1</v>
      </c>
      <c r="AA43" s="205">
        <f t="shared" si="27"/>
        <v>0.84961538461538455</v>
      </c>
      <c r="AB43" s="205">
        <f t="shared" si="27"/>
        <v>0.9389423076923078</v>
      </c>
      <c r="AC43" s="205">
        <f t="shared" si="27"/>
        <v>0.8999999999999998</v>
      </c>
      <c r="AD43" s="205">
        <f t="shared" si="27"/>
        <v>0.46538461538461534</v>
      </c>
      <c r="AE43" s="205">
        <f t="shared" si="27"/>
        <v>0.72499999999999987</v>
      </c>
      <c r="AF43" s="205">
        <f t="shared" si="27"/>
        <v>0.41758241758241754</v>
      </c>
      <c r="AG43" s="205">
        <f t="shared" si="27"/>
        <v>0.80192307692307685</v>
      </c>
      <c r="AH43" s="205">
        <f t="shared" si="27"/>
        <v>0.75769230769230766</v>
      </c>
      <c r="AI43" s="205">
        <f t="shared" si="27"/>
        <v>0.90576923076923077</v>
      </c>
      <c r="AJ43" s="205">
        <f t="shared" si="27"/>
        <v>0.62692307692307681</v>
      </c>
      <c r="AK43" s="205">
        <f t="shared" si="27"/>
        <v>0.96153846153846156</v>
      </c>
      <c r="AL43" s="205">
        <f t="shared" si="27"/>
        <v>0.97692307692307678</v>
      </c>
      <c r="AM43" s="205">
        <f t="shared" si="27"/>
        <v>0.78684615384615375</v>
      </c>
    </row>
    <row r="44" spans="1:42">
      <c r="E44" s="191"/>
      <c r="F44" s="191"/>
      <c r="I44" s="192"/>
      <c r="J44" s="192"/>
      <c r="N44" s="193"/>
      <c r="O44" s="193"/>
      <c r="P44" s="193"/>
      <c r="Q44" s="193"/>
      <c r="R44" s="193"/>
      <c r="S44" s="193"/>
      <c r="T44" s="193"/>
      <c r="W44" s="194"/>
      <c r="X44" s="193"/>
      <c r="Y44" s="193"/>
      <c r="Z44" s="193"/>
      <c r="AA44" s="193"/>
      <c r="AB44" s="193"/>
      <c r="AC44" s="193"/>
    </row>
    <row r="45" spans="1:42">
      <c r="B45" s="198"/>
      <c r="E45" s="191"/>
      <c r="F45" s="191"/>
      <c r="I45" s="192"/>
      <c r="J45" s="192"/>
      <c r="N45" s="193"/>
      <c r="O45" s="193"/>
      <c r="P45" s="193"/>
      <c r="Q45" s="193"/>
      <c r="R45" s="193"/>
      <c r="S45" s="193"/>
      <c r="T45" s="193"/>
      <c r="V45" s="198"/>
      <c r="W45" s="192"/>
      <c r="X45" s="193"/>
      <c r="Y45" s="193"/>
      <c r="Z45" s="193"/>
      <c r="AA45" s="193"/>
      <c r="AB45" s="193"/>
      <c r="AC45" s="193"/>
    </row>
    <row r="49" spans="1:70">
      <c r="H49" s="160"/>
      <c r="I49" s="160"/>
      <c r="J49" s="160"/>
      <c r="O49" s="160"/>
      <c r="P49" s="160"/>
      <c r="Q49" s="160"/>
    </row>
    <row r="50" spans="1:70">
      <c r="H50" s="160"/>
      <c r="I50" s="160"/>
      <c r="J50" s="160"/>
      <c r="O50" s="160"/>
      <c r="P50" s="160"/>
      <c r="Q50" s="160"/>
    </row>
    <row r="51" spans="1:70">
      <c r="H51" s="160"/>
      <c r="I51" s="160"/>
      <c r="J51" s="160"/>
      <c r="O51" s="160"/>
      <c r="P51" s="160"/>
      <c r="Q51" s="160"/>
    </row>
    <row r="52" spans="1:70">
      <c r="H52" s="160"/>
      <c r="I52" s="160"/>
      <c r="J52" s="160"/>
      <c r="O52" s="160"/>
      <c r="P52" s="160"/>
      <c r="Q52" s="160"/>
    </row>
    <row r="53" spans="1:70" s="192" customFormat="1">
      <c r="A53" s="81"/>
      <c r="B53" s="81"/>
      <c r="C53" s="201"/>
      <c r="D53" s="201"/>
      <c r="H53" s="160"/>
      <c r="I53" s="160"/>
      <c r="J53" s="160"/>
      <c r="O53" s="160"/>
      <c r="P53" s="160"/>
      <c r="Q53" s="160"/>
      <c r="S53" s="81"/>
      <c r="T53" s="81"/>
      <c r="U53" s="81"/>
      <c r="V53" s="81"/>
      <c r="W53" s="203"/>
      <c r="X53" s="81"/>
      <c r="Y53" s="81"/>
      <c r="Z53" s="81"/>
      <c r="AA53" s="81"/>
      <c r="AB53" s="81"/>
      <c r="AC53" s="81"/>
      <c r="AD53" s="81"/>
      <c r="AE53" s="81"/>
      <c r="AF53" s="81"/>
      <c r="AG53" s="81"/>
      <c r="AH53" s="81"/>
      <c r="AI53" s="81"/>
      <c r="AJ53" s="81"/>
      <c r="AK53" s="81"/>
      <c r="AL53" s="81"/>
      <c r="AM53" s="81"/>
      <c r="AN53" s="81"/>
      <c r="AO53" s="81"/>
      <c r="AP53" s="81"/>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row>
    <row r="54" spans="1:70" s="192" customFormat="1">
      <c r="A54" s="81"/>
      <c r="B54" s="81"/>
      <c r="C54" s="201"/>
      <c r="D54" s="201"/>
      <c r="H54" s="160"/>
      <c r="I54" s="160"/>
      <c r="J54" s="160"/>
      <c r="O54" s="160"/>
      <c r="P54" s="160"/>
      <c r="Q54" s="160"/>
      <c r="S54" s="81"/>
      <c r="T54" s="81"/>
      <c r="U54" s="81"/>
      <c r="V54" s="81"/>
      <c r="W54" s="203"/>
      <c r="X54" s="81"/>
      <c r="Y54" s="81"/>
      <c r="Z54" s="81"/>
      <c r="AA54" s="81"/>
      <c r="AB54" s="81"/>
      <c r="AC54" s="81"/>
      <c r="AD54" s="81"/>
      <c r="AE54" s="81"/>
      <c r="AF54" s="81"/>
      <c r="AG54" s="81"/>
      <c r="AH54" s="81"/>
      <c r="AI54" s="81"/>
      <c r="AJ54" s="81"/>
      <c r="AK54" s="81"/>
      <c r="AL54" s="81"/>
      <c r="AM54" s="81"/>
      <c r="AN54" s="81"/>
      <c r="AO54" s="81"/>
      <c r="AP54" s="81"/>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row>
    <row r="55" spans="1:70" s="192" customFormat="1">
      <c r="A55" s="81"/>
      <c r="B55" s="81"/>
      <c r="C55" s="201"/>
      <c r="D55" s="201"/>
      <c r="H55" s="160"/>
      <c r="I55" s="160"/>
      <c r="J55" s="160"/>
      <c r="O55" s="160"/>
      <c r="P55" s="160"/>
      <c r="Q55" s="160"/>
      <c r="S55" s="81"/>
      <c r="T55" s="81"/>
      <c r="U55" s="81"/>
      <c r="V55" s="81"/>
      <c r="W55" s="203"/>
      <c r="X55" s="81"/>
      <c r="Y55" s="81"/>
      <c r="Z55" s="81"/>
      <c r="AA55" s="81"/>
      <c r="AB55" s="81"/>
      <c r="AC55" s="81"/>
      <c r="AD55" s="81"/>
      <c r="AE55" s="81"/>
      <c r="AF55" s="81"/>
      <c r="AG55" s="81"/>
      <c r="AH55" s="81"/>
      <c r="AI55" s="81"/>
      <c r="AJ55" s="81"/>
      <c r="AK55" s="81"/>
      <c r="AL55" s="81"/>
      <c r="AM55" s="81"/>
      <c r="AN55" s="81"/>
      <c r="AO55" s="81"/>
      <c r="AP55" s="81"/>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row>
    <row r="56" spans="1:70" s="192" customFormat="1">
      <c r="A56" s="81"/>
      <c r="B56" s="81"/>
      <c r="C56" s="201"/>
      <c r="D56" s="201"/>
      <c r="H56" s="160"/>
      <c r="I56" s="160"/>
      <c r="J56" s="160"/>
      <c r="O56" s="160"/>
      <c r="P56" s="160"/>
      <c r="Q56" s="160"/>
      <c r="S56" s="81"/>
      <c r="T56" s="81"/>
      <c r="U56" s="81"/>
      <c r="V56" s="81"/>
      <c r="W56" s="203"/>
      <c r="X56" s="81"/>
      <c r="Y56" s="81"/>
      <c r="Z56" s="81"/>
      <c r="AA56" s="81"/>
      <c r="AB56" s="81"/>
      <c r="AC56" s="81"/>
      <c r="AD56" s="81"/>
      <c r="AE56" s="81"/>
      <c r="AF56" s="81"/>
      <c r="AG56" s="81"/>
      <c r="AH56" s="81"/>
      <c r="AI56" s="81"/>
      <c r="AJ56" s="81"/>
      <c r="AK56" s="81"/>
      <c r="AL56" s="81"/>
      <c r="AM56" s="81"/>
      <c r="AN56" s="81"/>
      <c r="AO56" s="81"/>
      <c r="AP56" s="81"/>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row>
    <row r="57" spans="1:70" s="192" customFormat="1">
      <c r="A57" s="81"/>
      <c r="B57" s="81"/>
      <c r="C57" s="201"/>
      <c r="D57" s="201"/>
      <c r="H57" s="160"/>
      <c r="I57" s="160"/>
      <c r="J57" s="160"/>
      <c r="O57" s="160"/>
      <c r="P57" s="160"/>
      <c r="Q57" s="160"/>
      <c r="S57" s="81"/>
      <c r="T57" s="81"/>
      <c r="U57" s="81"/>
      <c r="V57" s="81"/>
      <c r="W57" s="203"/>
      <c r="X57" s="81"/>
      <c r="Y57" s="81"/>
      <c r="Z57" s="81"/>
      <c r="AA57" s="81"/>
      <c r="AB57" s="81"/>
      <c r="AC57" s="81"/>
      <c r="AD57" s="81"/>
      <c r="AE57" s="81"/>
      <c r="AF57" s="81"/>
      <c r="AG57" s="81"/>
      <c r="AH57" s="81"/>
      <c r="AI57" s="81"/>
      <c r="AJ57" s="81"/>
      <c r="AK57" s="81"/>
      <c r="AL57" s="81"/>
      <c r="AM57" s="81"/>
      <c r="AN57" s="81"/>
      <c r="AO57" s="81"/>
      <c r="AP57" s="81"/>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row>
    <row r="58" spans="1:70" s="192" customFormat="1">
      <c r="A58" s="81"/>
      <c r="B58" s="81"/>
      <c r="C58" s="201"/>
      <c r="D58" s="201"/>
      <c r="H58" s="160"/>
      <c r="I58" s="160"/>
      <c r="J58" s="160"/>
      <c r="O58" s="160"/>
      <c r="P58" s="160"/>
      <c r="Q58" s="160"/>
      <c r="S58" s="81"/>
      <c r="T58" s="81"/>
      <c r="U58" s="81"/>
      <c r="V58" s="81"/>
      <c r="W58" s="203"/>
      <c r="X58" s="81"/>
      <c r="Y58" s="81"/>
      <c r="Z58" s="81"/>
      <c r="AA58" s="81"/>
      <c r="AB58" s="81"/>
      <c r="AC58" s="81"/>
      <c r="AD58" s="81"/>
      <c r="AE58" s="81"/>
      <c r="AF58" s="81"/>
      <c r="AG58" s="81"/>
      <c r="AH58" s="81"/>
      <c r="AI58" s="81"/>
      <c r="AJ58" s="81"/>
      <c r="AK58" s="81"/>
      <c r="AL58" s="81"/>
      <c r="AM58" s="81"/>
      <c r="AN58" s="81"/>
      <c r="AO58" s="81"/>
      <c r="AP58" s="81"/>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row>
    <row r="59" spans="1:70" s="192" customFormat="1">
      <c r="A59" s="81"/>
      <c r="B59" s="81"/>
      <c r="C59" s="201"/>
      <c r="D59" s="201"/>
      <c r="H59" s="160"/>
      <c r="I59" s="160"/>
      <c r="J59" s="160"/>
      <c r="O59" s="160"/>
      <c r="P59" s="160"/>
      <c r="Q59" s="160"/>
      <c r="S59" s="81"/>
      <c r="T59" s="81"/>
      <c r="U59" s="81"/>
      <c r="V59" s="81"/>
      <c r="W59" s="203"/>
      <c r="X59" s="81"/>
      <c r="Y59" s="81"/>
      <c r="Z59" s="81"/>
      <c r="AA59" s="81"/>
      <c r="AB59" s="81"/>
      <c r="AC59" s="81"/>
      <c r="AD59" s="81"/>
      <c r="AE59" s="81"/>
      <c r="AF59" s="81"/>
      <c r="AG59" s="81"/>
      <c r="AH59" s="81"/>
      <c r="AI59" s="81"/>
      <c r="AJ59" s="81"/>
      <c r="AK59" s="81"/>
      <c r="AL59" s="81"/>
      <c r="AM59" s="81"/>
      <c r="AN59" s="81"/>
      <c r="AO59" s="81"/>
      <c r="AP59" s="81"/>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row>
    <row r="60" spans="1:70" s="192" customFormat="1">
      <c r="A60" s="81"/>
      <c r="B60" s="81"/>
      <c r="C60" s="201"/>
      <c r="D60" s="201"/>
      <c r="H60" s="160"/>
      <c r="I60" s="160"/>
      <c r="J60" s="160"/>
      <c r="O60" s="160"/>
      <c r="P60" s="160"/>
      <c r="Q60" s="160"/>
      <c r="S60" s="81"/>
      <c r="T60" s="81"/>
      <c r="U60" s="81"/>
      <c r="V60" s="81"/>
      <c r="W60" s="203"/>
      <c r="X60" s="81"/>
      <c r="Y60" s="81"/>
      <c r="Z60" s="81"/>
      <c r="AA60" s="81"/>
      <c r="AB60" s="81"/>
      <c r="AC60" s="81"/>
      <c r="AD60" s="81"/>
      <c r="AE60" s="81"/>
      <c r="AF60" s="81"/>
      <c r="AG60" s="81"/>
      <c r="AH60" s="81"/>
      <c r="AI60" s="81"/>
      <c r="AJ60" s="81"/>
      <c r="AK60" s="81"/>
      <c r="AL60" s="81"/>
      <c r="AM60" s="81"/>
      <c r="AN60" s="81"/>
      <c r="AO60" s="81"/>
      <c r="AP60" s="81"/>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row>
    <row r="61" spans="1:70" s="192" customFormat="1">
      <c r="A61" s="81"/>
      <c r="B61" s="81"/>
      <c r="C61" s="201"/>
      <c r="D61" s="201"/>
      <c r="H61" s="160"/>
      <c r="I61" s="160"/>
      <c r="J61" s="160"/>
      <c r="O61" s="160"/>
      <c r="P61" s="160"/>
      <c r="Q61" s="160"/>
      <c r="S61" s="81"/>
      <c r="T61" s="81"/>
      <c r="U61" s="81"/>
      <c r="V61" s="81"/>
      <c r="W61" s="203"/>
      <c r="X61" s="81"/>
      <c r="Y61" s="81"/>
      <c r="Z61" s="81"/>
      <c r="AA61" s="81"/>
      <c r="AB61" s="81"/>
      <c r="AC61" s="81"/>
      <c r="AD61" s="81"/>
      <c r="AE61" s="81"/>
      <c r="AF61" s="81"/>
      <c r="AG61" s="81"/>
      <c r="AH61" s="81"/>
      <c r="AI61" s="81"/>
      <c r="AJ61" s="81"/>
      <c r="AK61" s="81"/>
      <c r="AL61" s="81"/>
      <c r="AM61" s="81"/>
      <c r="AN61" s="81"/>
      <c r="AO61" s="81"/>
      <c r="AP61" s="81"/>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row>
    <row r="62" spans="1:70" s="192" customFormat="1">
      <c r="A62" s="81"/>
      <c r="B62" s="81"/>
      <c r="C62" s="201"/>
      <c r="D62" s="201"/>
      <c r="H62" s="202"/>
      <c r="I62" s="202"/>
      <c r="J62" s="202"/>
      <c r="O62" s="202"/>
      <c r="P62" s="202"/>
      <c r="Q62" s="202"/>
      <c r="S62" s="81"/>
      <c r="T62" s="81"/>
      <c r="U62" s="81"/>
      <c r="V62" s="81"/>
      <c r="W62" s="203"/>
      <c r="X62" s="81"/>
      <c r="Y62" s="81"/>
      <c r="Z62" s="81"/>
      <c r="AA62" s="81"/>
      <c r="AB62" s="81"/>
      <c r="AC62" s="81"/>
      <c r="AD62" s="81"/>
      <c r="AE62" s="81"/>
      <c r="AF62" s="81"/>
      <c r="AG62" s="81"/>
      <c r="AH62" s="81"/>
      <c r="AI62" s="81"/>
      <c r="AJ62" s="81"/>
      <c r="AK62" s="81"/>
      <c r="AL62" s="81"/>
      <c r="AM62" s="81"/>
      <c r="AN62" s="81"/>
      <c r="AO62" s="81"/>
      <c r="AP62" s="81"/>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row>
    <row r="63" spans="1:70" s="192" customFormat="1">
      <c r="A63" s="81"/>
      <c r="B63" s="81"/>
      <c r="C63" s="201"/>
      <c r="D63" s="201"/>
      <c r="H63" s="202"/>
      <c r="I63" s="202"/>
      <c r="J63" s="202"/>
      <c r="O63" s="202"/>
      <c r="P63" s="202"/>
      <c r="Q63" s="202"/>
      <c r="S63" s="81"/>
      <c r="T63" s="81"/>
      <c r="U63" s="81"/>
      <c r="V63" s="81"/>
      <c r="W63" s="203"/>
      <c r="X63" s="81"/>
      <c r="Y63" s="81"/>
      <c r="Z63" s="81"/>
      <c r="AA63" s="81"/>
      <c r="AB63" s="81"/>
      <c r="AC63" s="81"/>
      <c r="AD63" s="81"/>
      <c r="AE63" s="81"/>
      <c r="AF63" s="81"/>
      <c r="AG63" s="81"/>
      <c r="AH63" s="81"/>
      <c r="AI63" s="81"/>
      <c r="AJ63" s="81"/>
      <c r="AK63" s="81"/>
      <c r="AL63" s="81"/>
      <c r="AM63" s="81"/>
      <c r="AN63" s="81"/>
      <c r="AO63" s="81"/>
      <c r="AP63" s="81"/>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row>
    <row r="64" spans="1:70" s="192" customFormat="1">
      <c r="A64" s="81"/>
      <c r="B64" s="81"/>
      <c r="C64" s="201"/>
      <c r="D64" s="201"/>
      <c r="H64" s="202"/>
      <c r="I64" s="202"/>
      <c r="J64" s="202"/>
      <c r="O64" s="202"/>
      <c r="P64" s="202"/>
      <c r="Q64" s="202"/>
      <c r="S64" s="81"/>
      <c r="T64" s="81"/>
      <c r="U64" s="81"/>
      <c r="V64" s="81"/>
      <c r="W64" s="203"/>
      <c r="X64" s="81"/>
      <c r="Y64" s="81"/>
      <c r="Z64" s="81"/>
      <c r="AA64" s="81"/>
      <c r="AB64" s="81"/>
      <c r="AC64" s="81"/>
      <c r="AD64" s="81"/>
      <c r="AE64" s="81"/>
      <c r="AF64" s="81"/>
      <c r="AG64" s="81"/>
      <c r="AH64" s="81"/>
      <c r="AI64" s="81"/>
      <c r="AJ64" s="81"/>
      <c r="AK64" s="81"/>
      <c r="AL64" s="81"/>
      <c r="AM64" s="81"/>
      <c r="AN64" s="81"/>
      <c r="AO64" s="81"/>
      <c r="AP64" s="81"/>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row>
    <row r="65" spans="1:70" s="192" customFormat="1">
      <c r="A65" s="81"/>
      <c r="B65" s="81"/>
      <c r="C65" s="201"/>
      <c r="D65" s="201"/>
      <c r="H65" s="202"/>
      <c r="I65" s="202"/>
      <c r="J65" s="202"/>
      <c r="O65" s="202"/>
      <c r="P65" s="202"/>
      <c r="Q65" s="202"/>
      <c r="S65" s="81"/>
      <c r="T65" s="81"/>
      <c r="U65" s="81"/>
      <c r="V65" s="81"/>
      <c r="W65" s="203"/>
      <c r="X65" s="81"/>
      <c r="Y65" s="81"/>
      <c r="Z65" s="81"/>
      <c r="AA65" s="81"/>
      <c r="AB65" s="81"/>
      <c r="AC65" s="81"/>
      <c r="AD65" s="81"/>
      <c r="AE65" s="81"/>
      <c r="AF65" s="81"/>
      <c r="AG65" s="81"/>
      <c r="AH65" s="81"/>
      <c r="AI65" s="81"/>
      <c r="AJ65" s="81"/>
      <c r="AK65" s="81"/>
      <c r="AL65" s="81"/>
      <c r="AM65" s="81"/>
      <c r="AN65" s="81"/>
      <c r="AO65" s="81"/>
      <c r="AP65" s="81"/>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row>
    <row r="66" spans="1:70" s="192" customFormat="1">
      <c r="A66" s="81"/>
      <c r="B66" s="81"/>
      <c r="C66" s="201"/>
      <c r="D66" s="201"/>
      <c r="H66" s="202"/>
      <c r="I66" s="202"/>
      <c r="J66" s="202"/>
      <c r="O66" s="202"/>
      <c r="P66" s="202"/>
      <c r="Q66" s="202"/>
      <c r="S66" s="81"/>
      <c r="T66" s="81"/>
      <c r="U66" s="81"/>
      <c r="V66" s="81"/>
      <c r="W66" s="203"/>
      <c r="X66" s="81"/>
      <c r="Y66" s="81"/>
      <c r="Z66" s="81"/>
      <c r="AA66" s="81"/>
      <c r="AB66" s="81"/>
      <c r="AC66" s="81"/>
      <c r="AD66" s="81"/>
      <c r="AE66" s="81"/>
      <c r="AF66" s="81"/>
      <c r="AG66" s="81"/>
      <c r="AH66" s="81"/>
      <c r="AI66" s="81"/>
      <c r="AJ66" s="81"/>
      <c r="AK66" s="81"/>
      <c r="AL66" s="81"/>
      <c r="AM66" s="81"/>
      <c r="AN66" s="81"/>
      <c r="AO66" s="81"/>
      <c r="AP66" s="81"/>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row>
    <row r="67" spans="1:70" s="192" customFormat="1">
      <c r="A67" s="81"/>
      <c r="B67" s="81"/>
      <c r="C67" s="201"/>
      <c r="D67" s="201"/>
      <c r="H67" s="202"/>
      <c r="I67" s="202"/>
      <c r="J67" s="202"/>
      <c r="O67" s="202"/>
      <c r="P67" s="202"/>
      <c r="Q67" s="202"/>
      <c r="S67" s="81"/>
      <c r="T67" s="81"/>
      <c r="U67" s="81"/>
      <c r="V67" s="81"/>
      <c r="W67" s="203"/>
      <c r="X67" s="81"/>
      <c r="Y67" s="81"/>
      <c r="Z67" s="81"/>
      <c r="AA67" s="81"/>
      <c r="AB67" s="81"/>
      <c r="AC67" s="81"/>
      <c r="AD67" s="81"/>
      <c r="AE67" s="81"/>
      <c r="AF67" s="81"/>
      <c r="AG67" s="81"/>
      <c r="AH67" s="81"/>
      <c r="AI67" s="81"/>
      <c r="AJ67" s="81"/>
      <c r="AK67" s="81"/>
      <c r="AL67" s="81"/>
      <c r="AM67" s="81"/>
      <c r="AN67" s="81"/>
      <c r="AO67" s="81"/>
      <c r="AP67" s="81"/>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row>
  </sheetData>
  <phoneticPr fontId="3"/>
  <conditionalFormatting sqref="AV3:AV29 BB3:BB29">
    <cfRule type="cellIs" dxfId="11" priority="2" stopIfTrue="1" operator="lessThanOrEqual">
      <formula>12</formula>
    </cfRule>
  </conditionalFormatting>
  <conditionalFormatting sqref="BJ3:BJ31 BP3:BP29">
    <cfRule type="cellIs" dxfId="10" priority="1" stopIfTrue="1" operator="lessThanOrEqual">
      <formula>11</formula>
    </cfRule>
  </conditionalFormatting>
  <pageMargins left="0.23" right="0.2" top="0.98399999999999999" bottom="0.98399999999999999" header="0.51200000000000001" footer="0.51200000000000001"/>
  <pageSetup paperSize="9" scale="47"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BR70"/>
  <sheetViews>
    <sheetView view="pageBreakPreview" zoomScale="115" zoomScaleNormal="100" zoomScaleSheetLayoutView="115" workbookViewId="0">
      <pane xSplit="2" ySplit="1" topLeftCell="AA2" activePane="bottomRight" state="frozen"/>
      <selection pane="topRight" activeCell="C1" sqref="C1"/>
      <selection pane="bottomLeft" activeCell="A2" sqref="A2"/>
      <selection pane="bottomRight" activeCell="AN13" sqref="AN13"/>
    </sheetView>
  </sheetViews>
  <sheetFormatPr defaultRowHeight="13.5"/>
  <cols>
    <col min="1" max="1" width="3.75" style="81" bestFit="1" customWidth="1"/>
    <col min="2" max="2" width="15" style="81" bestFit="1" customWidth="1"/>
    <col min="3" max="3" width="6.625" style="201" customWidth="1"/>
    <col min="4" max="4" width="5.75" style="201" customWidth="1"/>
    <col min="5" max="6" width="8.25" style="192" customWidth="1"/>
    <col min="7" max="7" width="7.875" style="192" customWidth="1"/>
    <col min="8" max="10" width="7.5" style="202" customWidth="1"/>
    <col min="11" max="13" width="7.25" style="192" customWidth="1"/>
    <col min="14" max="14" width="8.125" style="192" customWidth="1"/>
    <col min="15" max="15" width="10" style="202" customWidth="1"/>
    <col min="16" max="16" width="7.5" style="202" customWidth="1"/>
    <col min="17" max="17" width="8.125" style="202" customWidth="1"/>
    <col min="18" max="18" width="7.25" style="192" customWidth="1"/>
    <col min="19" max="22" width="7.125" style="81" customWidth="1"/>
    <col min="23" max="23" width="7.125" style="203" customWidth="1"/>
    <col min="24" max="38" width="7.125" style="81" customWidth="1"/>
    <col min="39" max="39" width="6.75" style="81" customWidth="1"/>
    <col min="40" max="40" width="5.75" style="81" customWidth="1"/>
    <col min="41" max="41" width="19.25" style="81" customWidth="1"/>
    <col min="42" max="42" width="8.875" style="81" customWidth="1"/>
    <col min="43" max="16384" width="9" style="198"/>
  </cols>
  <sheetData>
    <row r="1" spans="1:70" s="184" customFormat="1">
      <c r="A1" s="212" t="s">
        <v>87</v>
      </c>
      <c r="B1" s="212" t="s">
        <v>88</v>
      </c>
      <c r="C1" s="213" t="s">
        <v>693</v>
      </c>
      <c r="D1" s="213" t="s">
        <v>228</v>
      </c>
      <c r="E1" s="214" t="s">
        <v>106</v>
      </c>
      <c r="F1" s="214" t="s">
        <v>107</v>
      </c>
      <c r="G1" s="214" t="s">
        <v>108</v>
      </c>
      <c r="H1" s="206" t="s">
        <v>91</v>
      </c>
      <c r="I1" s="206" t="s">
        <v>92</v>
      </c>
      <c r="J1" s="206" t="s">
        <v>239</v>
      </c>
      <c r="K1" s="214" t="s">
        <v>240</v>
      </c>
      <c r="L1" s="214" t="s">
        <v>109</v>
      </c>
      <c r="M1" s="214" t="s">
        <v>110</v>
      </c>
      <c r="N1" s="214" t="s">
        <v>111</v>
      </c>
      <c r="O1" s="206" t="s">
        <v>93</v>
      </c>
      <c r="P1" s="206" t="s">
        <v>94</v>
      </c>
      <c r="Q1" s="206" t="s">
        <v>241</v>
      </c>
      <c r="R1" s="214" t="s">
        <v>242</v>
      </c>
      <c r="S1" s="212" t="s">
        <v>594</v>
      </c>
      <c r="T1" s="212" t="s">
        <v>291</v>
      </c>
      <c r="U1" s="212" t="s">
        <v>650</v>
      </c>
      <c r="V1" s="212" t="s">
        <v>651</v>
      </c>
      <c r="W1" s="235" t="s">
        <v>95</v>
      </c>
      <c r="X1" s="236" t="s">
        <v>96</v>
      </c>
      <c r="Y1" s="236" t="s">
        <v>637</v>
      </c>
      <c r="Z1" s="236" t="s">
        <v>638</v>
      </c>
      <c r="AA1" s="212" t="s">
        <v>97</v>
      </c>
      <c r="AB1" s="212" t="s">
        <v>2</v>
      </c>
      <c r="AC1" s="212" t="s">
        <v>3</v>
      </c>
      <c r="AD1" s="212" t="s">
        <v>4</v>
      </c>
      <c r="AE1" s="212" t="s">
        <v>214</v>
      </c>
      <c r="AF1" s="236" t="s">
        <v>5</v>
      </c>
      <c r="AG1" s="212" t="s">
        <v>6</v>
      </c>
      <c r="AH1" s="212" t="s">
        <v>7</v>
      </c>
      <c r="AI1" s="212" t="s">
        <v>8</v>
      </c>
      <c r="AJ1" s="236" t="s">
        <v>9</v>
      </c>
      <c r="AK1" s="212" t="s">
        <v>10</v>
      </c>
      <c r="AL1" s="212" t="s">
        <v>11</v>
      </c>
      <c r="AM1" s="236" t="s">
        <v>12</v>
      </c>
      <c r="AN1" s="236" t="s">
        <v>98</v>
      </c>
      <c r="AO1" s="212" t="s">
        <v>105</v>
      </c>
      <c r="AP1" s="236" t="s">
        <v>190</v>
      </c>
      <c r="AQ1" s="184" t="s">
        <v>289</v>
      </c>
      <c r="AW1" s="184" t="s">
        <v>288</v>
      </c>
      <c r="BB1" s="184" t="s">
        <v>654</v>
      </c>
      <c r="BC1" s="184" t="s">
        <v>653</v>
      </c>
      <c r="BD1" s="184" t="s">
        <v>656</v>
      </c>
      <c r="BE1" s="184" t="s">
        <v>286</v>
      </c>
      <c r="BK1" s="184" t="s">
        <v>287</v>
      </c>
      <c r="BP1" s="184" t="s">
        <v>655</v>
      </c>
      <c r="BQ1" s="184" t="s">
        <v>657</v>
      </c>
      <c r="BR1" s="184" t="s">
        <v>658</v>
      </c>
    </row>
    <row r="2" spans="1:70" s="195" customFormat="1" ht="14.25" thickBot="1">
      <c r="A2" s="259"/>
      <c r="B2" s="259" t="s">
        <v>699</v>
      </c>
      <c r="C2" s="260"/>
      <c r="D2" s="260"/>
      <c r="E2" s="261"/>
      <c r="F2" s="261"/>
      <c r="G2" s="261"/>
      <c r="H2" s="262"/>
      <c r="I2" s="262"/>
      <c r="J2" s="262"/>
      <c r="K2" s="261"/>
      <c r="L2" s="261"/>
      <c r="M2" s="261"/>
      <c r="N2" s="261"/>
      <c r="O2" s="262"/>
      <c r="P2" s="262"/>
      <c r="Q2" s="262"/>
      <c r="R2" s="261"/>
      <c r="S2" s="263">
        <v>3</v>
      </c>
      <c r="T2" s="263">
        <v>4</v>
      </c>
      <c r="U2" s="263">
        <v>1.5</v>
      </c>
      <c r="V2" s="263">
        <v>2.5</v>
      </c>
      <c r="W2" s="264">
        <v>15</v>
      </c>
      <c r="X2" s="264">
        <v>15</v>
      </c>
      <c r="Y2" s="264">
        <v>5</v>
      </c>
      <c r="Z2" s="264">
        <v>5</v>
      </c>
      <c r="AA2" s="263">
        <v>10</v>
      </c>
      <c r="AB2" s="263">
        <v>8</v>
      </c>
      <c r="AC2" s="263">
        <v>4</v>
      </c>
      <c r="AD2" s="263">
        <v>5</v>
      </c>
      <c r="AE2" s="263">
        <v>2</v>
      </c>
      <c r="AF2" s="264">
        <v>7</v>
      </c>
      <c r="AG2" s="263">
        <v>4</v>
      </c>
      <c r="AH2" s="263">
        <v>2</v>
      </c>
      <c r="AI2" s="263">
        <v>6</v>
      </c>
      <c r="AJ2" s="264">
        <v>4</v>
      </c>
      <c r="AK2" s="263">
        <v>3</v>
      </c>
      <c r="AL2" s="263">
        <v>5</v>
      </c>
      <c r="AM2" s="264">
        <f t="shared" ref="AM2:AM39" si="0">SUM(W2:AL2)</f>
        <v>100</v>
      </c>
      <c r="AN2" s="265"/>
      <c r="AO2" s="259"/>
      <c r="AP2" s="265"/>
      <c r="AQ2" s="195">
        <v>1</v>
      </c>
      <c r="AR2" s="195">
        <v>2</v>
      </c>
      <c r="AS2" s="195">
        <v>3</v>
      </c>
      <c r="AT2" s="195">
        <v>4</v>
      </c>
      <c r="AU2" s="195">
        <v>5</v>
      </c>
      <c r="AV2" s="195" t="s">
        <v>613</v>
      </c>
      <c r="AW2" s="195">
        <v>1</v>
      </c>
      <c r="AX2" s="195">
        <v>2</v>
      </c>
      <c r="AY2" s="195">
        <v>3</v>
      </c>
      <c r="AZ2" s="195">
        <v>4</v>
      </c>
      <c r="BA2" s="195">
        <v>5</v>
      </c>
      <c r="BB2" s="195" t="s">
        <v>613</v>
      </c>
      <c r="BE2" s="195">
        <v>1</v>
      </c>
      <c r="BF2" s="195">
        <v>2</v>
      </c>
      <c r="BG2" s="195">
        <v>3</v>
      </c>
      <c r="BH2" s="195">
        <v>4</v>
      </c>
      <c r="BI2" s="195">
        <v>5</v>
      </c>
      <c r="BJ2" s="195" t="s">
        <v>613</v>
      </c>
      <c r="BK2" s="195">
        <v>1</v>
      </c>
      <c r="BL2" s="195">
        <v>2</v>
      </c>
      <c r="BM2" s="195">
        <v>3</v>
      </c>
      <c r="BN2" s="195">
        <v>4</v>
      </c>
      <c r="BO2" s="195">
        <v>5</v>
      </c>
      <c r="BP2" s="195" t="s">
        <v>613</v>
      </c>
    </row>
    <row r="3" spans="1:70">
      <c r="A3" s="227" t="s">
        <v>99</v>
      </c>
      <c r="B3" s="227" t="s">
        <v>179</v>
      </c>
      <c r="C3" s="228" t="s">
        <v>280</v>
      </c>
      <c r="D3" s="228">
        <v>4</v>
      </c>
      <c r="E3" s="229">
        <v>0.56458333333333333</v>
      </c>
      <c r="F3" s="229">
        <v>0.58064814814814814</v>
      </c>
      <c r="G3" s="229">
        <v>0.6650462962962963</v>
      </c>
      <c r="H3" s="210">
        <f t="shared" ref="H3:H27" si="1">F3-E3</f>
        <v>1.606481481481481E-2</v>
      </c>
      <c r="I3" s="210">
        <f>H3-MIN(H$3:H$31)</f>
        <v>4.1435185185191292E-3</v>
      </c>
      <c r="J3" s="210">
        <f t="shared" ref="J3:J39" si="2">G3-E3</f>
        <v>0.10046296296296298</v>
      </c>
      <c r="K3" s="229">
        <v>0.125</v>
      </c>
      <c r="L3" s="229">
        <v>0.31006944444444445</v>
      </c>
      <c r="M3" s="229">
        <v>0.33660879629629631</v>
      </c>
      <c r="N3" s="229">
        <v>0.46240740740740738</v>
      </c>
      <c r="O3" s="210">
        <f t="shared" ref="O3:O27" si="3">M3-L3</f>
        <v>2.6539351851851856E-2</v>
      </c>
      <c r="P3" s="210">
        <f>O3-MIN(O$3:O$31)</f>
        <v>6.7824074074074314E-3</v>
      </c>
      <c r="Q3" s="210">
        <f t="shared" ref="Q3:Q39" si="4">N3-L3</f>
        <v>0.15233796296296293</v>
      </c>
      <c r="R3" s="229">
        <v>0.1875</v>
      </c>
      <c r="S3" s="230">
        <v>3</v>
      </c>
      <c r="T3" s="230">
        <v>3</v>
      </c>
      <c r="U3" s="230">
        <v>1</v>
      </c>
      <c r="V3" s="230">
        <v>2.5</v>
      </c>
      <c r="W3" s="240">
        <f>ROUND(MAX(W$2-I3*60*24*0.5+BD3,0),1)</f>
        <v>12</v>
      </c>
      <c r="X3" s="240">
        <f>ROUND(MAX(X$2-P3*60*24*0.5+BR3,0),1)</f>
        <v>10.1</v>
      </c>
      <c r="Y3" s="240">
        <f t="shared" ref="Y3:Y28" si="5">ROUND(MAX(MIN(Y$2+(K3-J3)*60*24*0.2,$Y$2),0),1)</f>
        <v>5</v>
      </c>
      <c r="Z3" s="240">
        <f t="shared" ref="Z3:Z28" si="6">ROUND(MAX(MIN($Z$2+(R3-Q3)*60*24*0.2,$Z$2),0),1)</f>
        <v>5</v>
      </c>
      <c r="AA3" s="230">
        <v>10</v>
      </c>
      <c r="AB3" s="230">
        <v>8</v>
      </c>
      <c r="AC3" s="230">
        <v>4</v>
      </c>
      <c r="AD3" s="230">
        <v>1.8</v>
      </c>
      <c r="AE3" s="230">
        <v>2</v>
      </c>
      <c r="AF3" s="240">
        <f t="shared" ref="AF3:AF27" si="7">SUM(S3:T3)</f>
        <v>6</v>
      </c>
      <c r="AG3" s="230">
        <v>3</v>
      </c>
      <c r="AH3" s="230">
        <v>1.2</v>
      </c>
      <c r="AI3" s="230">
        <v>5.9</v>
      </c>
      <c r="AJ3" s="240">
        <f t="shared" ref="AJ3:AJ38" si="8">SUM(U3:V3)</f>
        <v>3.5</v>
      </c>
      <c r="AK3" s="230">
        <v>3</v>
      </c>
      <c r="AL3" s="230">
        <v>5</v>
      </c>
      <c r="AM3" s="240">
        <f t="shared" si="0"/>
        <v>85.500000000000014</v>
      </c>
      <c r="AN3" s="245">
        <f>RANK(AM3,$AM$3:$AM$13)</f>
        <v>4</v>
      </c>
      <c r="AO3" s="227"/>
      <c r="AP3" s="245">
        <f>RANK(I3,$I$3:$I$13,1)</f>
        <v>4</v>
      </c>
      <c r="AQ3" s="196">
        <v>12.6</v>
      </c>
      <c r="AR3" s="196">
        <v>12.15</v>
      </c>
      <c r="AS3" s="196">
        <v>12.2</v>
      </c>
      <c r="AT3" s="196">
        <v>13.4</v>
      </c>
      <c r="AU3" s="196"/>
      <c r="AV3" s="197">
        <f>AVERAGE(AQ3:AU3)</f>
        <v>12.5875</v>
      </c>
      <c r="AW3" s="196">
        <v>12.35</v>
      </c>
      <c r="AX3" s="196">
        <v>12.4</v>
      </c>
      <c r="AY3" s="196">
        <v>12.9</v>
      </c>
      <c r="AZ3" s="196">
        <v>12.05</v>
      </c>
      <c r="BB3" s="199">
        <f>AVERAGE(AW3:AZ3)</f>
        <v>12.425000000000001</v>
      </c>
      <c r="BC3" s="200">
        <v>12</v>
      </c>
      <c r="BD3" s="200">
        <f>IF(ISERR(BB3),0,IF(BB3&lt;BC3,BB3-BC3,0))</f>
        <v>0</v>
      </c>
      <c r="BE3" s="196">
        <v>11.7</v>
      </c>
      <c r="BF3" s="196">
        <v>11.85</v>
      </c>
      <c r="BG3" s="196">
        <v>11.7</v>
      </c>
      <c r="BH3" s="196">
        <v>10.85</v>
      </c>
      <c r="BJ3" s="199">
        <f t="shared" ref="BJ3:BJ13" si="9">AVERAGE(BE3:BH3)</f>
        <v>11.525</v>
      </c>
      <c r="BK3" s="196">
        <v>11.95</v>
      </c>
      <c r="BL3" s="196">
        <v>11.55</v>
      </c>
      <c r="BM3" s="196">
        <v>11.75</v>
      </c>
      <c r="BN3" s="196">
        <v>10.95</v>
      </c>
      <c r="BO3" s="196"/>
      <c r="BP3" s="199">
        <f t="shared" ref="BP3:BP26" si="10">AVERAGE(BK3:BN3)</f>
        <v>11.55</v>
      </c>
      <c r="BQ3" s="200">
        <v>11</v>
      </c>
      <c r="BR3" s="200">
        <f>IF(ISERR(BP3),0,IF(BP3&lt;BQ3,BP3-BQ3,0))</f>
        <v>0</v>
      </c>
    </row>
    <row r="4" spans="1:70">
      <c r="A4" s="218" t="s">
        <v>99</v>
      </c>
      <c r="B4" s="218" t="s">
        <v>700</v>
      </c>
      <c r="C4" s="219" t="s">
        <v>660</v>
      </c>
      <c r="D4" s="219">
        <v>4</v>
      </c>
      <c r="E4" s="220">
        <v>0.5649305555555556</v>
      </c>
      <c r="F4" s="220">
        <v>0.58828703703703711</v>
      </c>
      <c r="G4" s="220">
        <v>0.6880208333333333</v>
      </c>
      <c r="H4" s="208">
        <f>F4-E4</f>
        <v>2.3356481481481506E-2</v>
      </c>
      <c r="I4" s="208">
        <f t="shared" ref="I4:I30" si="11">H4-MIN(H$3:H$31)</f>
        <v>1.1435185185185825E-2</v>
      </c>
      <c r="J4" s="208">
        <f t="shared" si="2"/>
        <v>0.1230902777777777</v>
      </c>
      <c r="K4" s="220">
        <v>0.125</v>
      </c>
      <c r="L4" s="220">
        <v>0.31180555555555556</v>
      </c>
      <c r="M4" s="220">
        <v>0.34218750000000003</v>
      </c>
      <c r="N4" s="220">
        <v>0.4742824074074074</v>
      </c>
      <c r="O4" s="208">
        <f>M4-L4</f>
        <v>3.0381944444444475E-2</v>
      </c>
      <c r="P4" s="208">
        <f t="shared" ref="P4:P31" si="12">O4-MIN(O$3:O$31)</f>
        <v>1.0625000000000051E-2</v>
      </c>
      <c r="Q4" s="208">
        <f t="shared" si="4"/>
        <v>0.16247685185185184</v>
      </c>
      <c r="R4" s="220">
        <v>0.1875</v>
      </c>
      <c r="S4" s="221">
        <v>0</v>
      </c>
      <c r="T4" s="221">
        <v>0</v>
      </c>
      <c r="U4" s="221">
        <v>0</v>
      </c>
      <c r="V4" s="221">
        <v>1</v>
      </c>
      <c r="W4" s="238">
        <f t="shared" ref="W4:W26" si="13">ROUND(MAX(W$2-I4*60*24*0.5+BD4,0),1)</f>
        <v>6.8</v>
      </c>
      <c r="X4" s="238">
        <f t="shared" ref="X4:X28" si="14">ROUND(MAX(X$2-P4*60*24*0.5+BR4,0),1)</f>
        <v>7.3</v>
      </c>
      <c r="Y4" s="238">
        <f t="shared" si="5"/>
        <v>5</v>
      </c>
      <c r="Z4" s="238">
        <f t="shared" si="6"/>
        <v>5</v>
      </c>
      <c r="AA4" s="221">
        <v>3.2</v>
      </c>
      <c r="AB4" s="221">
        <v>4.2</v>
      </c>
      <c r="AC4" s="221">
        <v>3.4</v>
      </c>
      <c r="AD4" s="221">
        <v>0.6</v>
      </c>
      <c r="AE4" s="221">
        <v>1.2</v>
      </c>
      <c r="AF4" s="238">
        <f t="shared" si="7"/>
        <v>0</v>
      </c>
      <c r="AG4" s="221">
        <v>1.8</v>
      </c>
      <c r="AH4" s="221">
        <v>0.4</v>
      </c>
      <c r="AI4" s="221">
        <v>3</v>
      </c>
      <c r="AJ4" s="238">
        <f t="shared" si="8"/>
        <v>1</v>
      </c>
      <c r="AK4" s="221">
        <v>3</v>
      </c>
      <c r="AL4" s="221">
        <v>4.5</v>
      </c>
      <c r="AM4" s="238">
        <f t="shared" si="0"/>
        <v>50.4</v>
      </c>
      <c r="AN4" s="243">
        <f t="shared" ref="AN4:AN12" si="15">RANK(AM4,$AM$3:$AM$13)</f>
        <v>9</v>
      </c>
      <c r="AO4" s="218"/>
      <c r="AP4" s="243">
        <f t="shared" ref="AP4:AP13" si="16">RANK(I4,$I$3:$I$13,1)</f>
        <v>9</v>
      </c>
      <c r="AQ4" s="196">
        <v>13.25</v>
      </c>
      <c r="AR4" s="196">
        <v>14.15</v>
      </c>
      <c r="AS4" s="196">
        <v>13.4</v>
      </c>
      <c r="AT4" s="196">
        <v>13.8</v>
      </c>
      <c r="AU4" s="196"/>
      <c r="AV4" s="197">
        <f t="shared" ref="AV4:AV27" si="17">AVERAGE(AQ4:AU4)</f>
        <v>13.649999999999999</v>
      </c>
      <c r="AW4" s="196">
        <v>14.05</v>
      </c>
      <c r="AX4" s="196">
        <v>12.7</v>
      </c>
      <c r="AY4" s="196">
        <v>12.65</v>
      </c>
      <c r="AZ4" s="196">
        <v>13.05</v>
      </c>
      <c r="BB4" s="199">
        <f t="shared" ref="BB4:BB39" si="18">AVERAGE(AW4:AZ4)</f>
        <v>13.112500000000001</v>
      </c>
      <c r="BC4" s="200">
        <v>12</v>
      </c>
      <c r="BD4" s="200">
        <f t="shared" ref="BD4:BD39" si="19">IF(ISERR(BB4),0,IF(BB4&lt;BC4,BB4-BC4,0))</f>
        <v>0</v>
      </c>
      <c r="BE4" s="196">
        <v>13.55</v>
      </c>
      <c r="BF4" s="196">
        <v>12.55</v>
      </c>
      <c r="BG4" s="196">
        <v>10</v>
      </c>
      <c r="BH4" s="196">
        <v>13.25</v>
      </c>
      <c r="BJ4" s="199">
        <f t="shared" si="9"/>
        <v>12.3375</v>
      </c>
      <c r="BK4" s="196">
        <v>9.9</v>
      </c>
      <c r="BL4" s="196">
        <v>13.25</v>
      </c>
      <c r="BM4" s="196">
        <v>11.8</v>
      </c>
      <c r="BN4" s="196">
        <v>12.7</v>
      </c>
      <c r="BO4" s="196"/>
      <c r="BP4" s="199">
        <f t="shared" si="10"/>
        <v>11.912500000000001</v>
      </c>
      <c r="BQ4" s="200">
        <v>11</v>
      </c>
      <c r="BR4" s="200">
        <f t="shared" ref="BR4:BR28" si="20">IF(ISERR(BP4),0,IF(BP4&lt;BQ4,BP4-BQ4,0))</f>
        <v>0</v>
      </c>
    </row>
    <row r="5" spans="1:70">
      <c r="A5" s="218" t="s">
        <v>99</v>
      </c>
      <c r="B5" s="218" t="s">
        <v>701</v>
      </c>
      <c r="C5" s="219" t="s">
        <v>661</v>
      </c>
      <c r="D5" s="219">
        <v>4</v>
      </c>
      <c r="E5" s="229">
        <v>0.56527777777777799</v>
      </c>
      <c r="F5" s="220">
        <v>0.59521990740740738</v>
      </c>
      <c r="G5" s="220">
        <v>0.68958333333333333</v>
      </c>
      <c r="H5" s="208">
        <f>F5-E5</f>
        <v>2.9942129629629388E-2</v>
      </c>
      <c r="I5" s="208">
        <f t="shared" si="11"/>
        <v>1.8020833333333708E-2</v>
      </c>
      <c r="J5" s="208">
        <f t="shared" si="2"/>
        <v>0.12430555555555534</v>
      </c>
      <c r="K5" s="220">
        <v>0.125</v>
      </c>
      <c r="L5" s="220">
        <v>0.3125</v>
      </c>
      <c r="M5" s="220">
        <v>0.36064814814814811</v>
      </c>
      <c r="N5" s="220">
        <v>0.50150462962962961</v>
      </c>
      <c r="O5" s="208">
        <f t="shared" si="3"/>
        <v>4.8148148148148107E-2</v>
      </c>
      <c r="P5" s="208">
        <f t="shared" si="12"/>
        <v>2.8391203703703682E-2</v>
      </c>
      <c r="Q5" s="208">
        <f t="shared" si="4"/>
        <v>0.18900462962962961</v>
      </c>
      <c r="R5" s="220">
        <v>0.1875</v>
      </c>
      <c r="S5" s="221">
        <v>0</v>
      </c>
      <c r="T5" s="221">
        <v>0.5</v>
      </c>
      <c r="U5" s="221">
        <v>0.5</v>
      </c>
      <c r="V5" s="221">
        <v>0</v>
      </c>
      <c r="W5" s="238">
        <f t="shared" si="13"/>
        <v>2</v>
      </c>
      <c r="X5" s="238">
        <f>ROUND(MAX(X$2-P5*60*24*0.5+BR5,0),1)</f>
        <v>0</v>
      </c>
      <c r="Y5" s="238">
        <f t="shared" si="5"/>
        <v>5</v>
      </c>
      <c r="Z5" s="238">
        <f t="shared" si="6"/>
        <v>4.5999999999999996</v>
      </c>
      <c r="AA5" s="221">
        <v>7.8</v>
      </c>
      <c r="AB5" s="221">
        <v>6.9</v>
      </c>
      <c r="AC5" s="221">
        <v>3.6</v>
      </c>
      <c r="AD5" s="221">
        <v>0</v>
      </c>
      <c r="AE5" s="221">
        <v>1.6</v>
      </c>
      <c r="AF5" s="238">
        <f t="shared" si="7"/>
        <v>0.5</v>
      </c>
      <c r="AG5" s="221">
        <v>2.6</v>
      </c>
      <c r="AH5" s="221">
        <v>0.8</v>
      </c>
      <c r="AI5" s="221">
        <v>4.8</v>
      </c>
      <c r="AJ5" s="238">
        <f t="shared" si="8"/>
        <v>0.5</v>
      </c>
      <c r="AK5" s="221">
        <v>3</v>
      </c>
      <c r="AL5" s="221">
        <v>5</v>
      </c>
      <c r="AM5" s="238">
        <f t="shared" si="0"/>
        <v>48.699999999999996</v>
      </c>
      <c r="AN5" s="243">
        <f t="shared" si="15"/>
        <v>10</v>
      </c>
      <c r="AO5" s="218"/>
      <c r="AP5" s="243">
        <f t="shared" si="16"/>
        <v>11</v>
      </c>
      <c r="AQ5" s="196">
        <v>13.6</v>
      </c>
      <c r="AR5" s="196">
        <v>16.350000000000001</v>
      </c>
      <c r="AS5" s="196">
        <v>16.100000000000001</v>
      </c>
      <c r="AT5" s="196">
        <v>16.55</v>
      </c>
      <c r="AU5" s="196"/>
      <c r="AV5" s="197">
        <f t="shared" si="17"/>
        <v>15.650000000000002</v>
      </c>
      <c r="AW5" s="196">
        <v>16.399999999999999</v>
      </c>
      <c r="AX5" s="196">
        <v>15.35</v>
      </c>
      <c r="AY5" s="196">
        <v>14.95</v>
      </c>
      <c r="AZ5" s="196">
        <v>15.15</v>
      </c>
      <c r="BB5" s="199">
        <f t="shared" si="18"/>
        <v>15.4625</v>
      </c>
      <c r="BC5" s="200">
        <v>12</v>
      </c>
      <c r="BD5" s="200">
        <f t="shared" si="19"/>
        <v>0</v>
      </c>
      <c r="BE5" s="196">
        <v>13.35</v>
      </c>
      <c r="BF5" s="196">
        <v>13</v>
      </c>
      <c r="BG5" s="196">
        <v>13.4</v>
      </c>
      <c r="BH5" s="196">
        <v>14.65</v>
      </c>
      <c r="BJ5" s="199">
        <f t="shared" si="9"/>
        <v>13.6</v>
      </c>
      <c r="BK5" s="196">
        <v>12.35</v>
      </c>
      <c r="BL5" s="196">
        <v>13.6</v>
      </c>
      <c r="BM5" s="196">
        <v>12.4</v>
      </c>
      <c r="BN5" s="196">
        <v>13.4</v>
      </c>
      <c r="BO5" s="196"/>
      <c r="BP5" s="199">
        <f t="shared" si="10"/>
        <v>12.9375</v>
      </c>
      <c r="BQ5" s="200">
        <v>11</v>
      </c>
      <c r="BR5" s="200">
        <f t="shared" si="20"/>
        <v>0</v>
      </c>
    </row>
    <row r="6" spans="1:70">
      <c r="A6" s="218" t="s">
        <v>99</v>
      </c>
      <c r="B6" s="218" t="s">
        <v>702</v>
      </c>
      <c r="C6" s="219" t="s">
        <v>662</v>
      </c>
      <c r="D6" s="219">
        <v>4</v>
      </c>
      <c r="E6" s="220">
        <v>0.56562500000000004</v>
      </c>
      <c r="F6" s="220">
        <v>0.59248842592592588</v>
      </c>
      <c r="G6" s="220">
        <v>0.68136574074074074</v>
      </c>
      <c r="H6" s="208">
        <f t="shared" si="1"/>
        <v>2.6863425925925832E-2</v>
      </c>
      <c r="I6" s="208">
        <f t="shared" si="11"/>
        <v>1.4942129629630152E-2</v>
      </c>
      <c r="J6" s="208">
        <f t="shared" si="2"/>
        <v>0.1157407407407407</v>
      </c>
      <c r="K6" s="220">
        <v>0.125</v>
      </c>
      <c r="L6" s="220">
        <v>0.31215277777777778</v>
      </c>
      <c r="M6" s="220">
        <v>0.34547453703703707</v>
      </c>
      <c r="N6" s="220">
        <v>0.47541666666666665</v>
      </c>
      <c r="O6" s="208">
        <f t="shared" si="3"/>
        <v>3.3321759259259287E-2</v>
      </c>
      <c r="P6" s="208">
        <f t="shared" si="12"/>
        <v>1.3564814814814863E-2</v>
      </c>
      <c r="Q6" s="208">
        <f t="shared" si="4"/>
        <v>0.16326388888888888</v>
      </c>
      <c r="R6" s="220">
        <v>0.1875</v>
      </c>
      <c r="S6" s="221">
        <v>0</v>
      </c>
      <c r="T6" s="221">
        <v>2</v>
      </c>
      <c r="U6" s="221">
        <v>1</v>
      </c>
      <c r="V6" s="221">
        <v>1.5</v>
      </c>
      <c r="W6" s="238">
        <f t="shared" si="13"/>
        <v>4.2</v>
      </c>
      <c r="X6" s="238">
        <f t="shared" si="14"/>
        <v>5.2</v>
      </c>
      <c r="Y6" s="238">
        <f t="shared" si="5"/>
        <v>5</v>
      </c>
      <c r="Z6" s="238">
        <f t="shared" si="6"/>
        <v>5</v>
      </c>
      <c r="AA6" s="221">
        <v>9</v>
      </c>
      <c r="AB6" s="221">
        <v>7.6</v>
      </c>
      <c r="AC6" s="221">
        <v>4</v>
      </c>
      <c r="AD6" s="221">
        <v>1.5</v>
      </c>
      <c r="AE6" s="221">
        <v>2</v>
      </c>
      <c r="AF6" s="238">
        <f t="shared" si="7"/>
        <v>2</v>
      </c>
      <c r="AG6" s="221">
        <v>2.8</v>
      </c>
      <c r="AH6" s="221">
        <v>1.6</v>
      </c>
      <c r="AI6" s="221">
        <v>4.9000000000000004</v>
      </c>
      <c r="AJ6" s="238">
        <f t="shared" si="8"/>
        <v>2.5</v>
      </c>
      <c r="AK6" s="221">
        <v>2</v>
      </c>
      <c r="AL6" s="221">
        <v>5</v>
      </c>
      <c r="AM6" s="238">
        <f t="shared" si="0"/>
        <v>64.3</v>
      </c>
      <c r="AN6" s="243">
        <f t="shared" si="15"/>
        <v>7</v>
      </c>
      <c r="AO6" s="218"/>
      <c r="AP6" s="243">
        <f t="shared" si="16"/>
        <v>10</v>
      </c>
      <c r="AQ6" s="196">
        <v>14.45</v>
      </c>
      <c r="AR6" s="196">
        <v>11.4</v>
      </c>
      <c r="AS6" s="196">
        <v>14.2</v>
      </c>
      <c r="AT6" s="196">
        <v>15.9</v>
      </c>
      <c r="AU6" s="196"/>
      <c r="AV6" s="197">
        <f t="shared" si="17"/>
        <v>13.987499999999999</v>
      </c>
      <c r="AW6" s="196">
        <v>13.95</v>
      </c>
      <c r="AX6" s="196">
        <v>11.1</v>
      </c>
      <c r="AY6" s="196">
        <v>14.05</v>
      </c>
      <c r="AZ6" s="196">
        <v>16</v>
      </c>
      <c r="BB6" s="199">
        <f t="shared" si="18"/>
        <v>13.774999999999999</v>
      </c>
      <c r="BC6" s="200">
        <v>12</v>
      </c>
      <c r="BD6" s="200">
        <f t="shared" si="19"/>
        <v>0</v>
      </c>
      <c r="BE6" s="196">
        <v>13.25</v>
      </c>
      <c r="BF6" s="196">
        <v>12.15</v>
      </c>
      <c r="BG6" s="196">
        <v>14.55</v>
      </c>
      <c r="BH6" s="196">
        <v>16.100000000000001</v>
      </c>
      <c r="BJ6" s="199">
        <f t="shared" si="9"/>
        <v>14.012500000000001</v>
      </c>
      <c r="BK6" s="196">
        <v>12.1</v>
      </c>
      <c r="BL6" s="196">
        <v>11.2</v>
      </c>
      <c r="BM6" s="196">
        <v>14.6</v>
      </c>
      <c r="BN6" s="196">
        <v>13.3</v>
      </c>
      <c r="BO6" s="196"/>
      <c r="BP6" s="199">
        <f t="shared" si="10"/>
        <v>12.8</v>
      </c>
      <c r="BQ6" s="200">
        <v>11</v>
      </c>
      <c r="BR6" s="200">
        <f t="shared" si="20"/>
        <v>0</v>
      </c>
    </row>
    <row r="7" spans="1:70">
      <c r="A7" s="218" t="s">
        <v>99</v>
      </c>
      <c r="B7" s="218" t="s">
        <v>703</v>
      </c>
      <c r="C7" s="219" t="s">
        <v>663</v>
      </c>
      <c r="D7" s="219">
        <v>4</v>
      </c>
      <c r="E7" s="229">
        <v>0.56597222222222199</v>
      </c>
      <c r="F7" s="220">
        <v>0.58013888888888887</v>
      </c>
      <c r="G7" s="220">
        <v>0.66994212962962962</v>
      </c>
      <c r="H7" s="208">
        <f t="shared" si="1"/>
        <v>1.4166666666666883E-2</v>
      </c>
      <c r="I7" s="208">
        <f t="shared" si="11"/>
        <v>2.2453703703712025E-3</v>
      </c>
      <c r="J7" s="208">
        <f t="shared" si="2"/>
        <v>0.10396990740740764</v>
      </c>
      <c r="K7" s="220">
        <v>0.125</v>
      </c>
      <c r="L7" s="220">
        <v>0.30972222222222223</v>
      </c>
      <c r="M7" s="220">
        <v>0.33437500000000003</v>
      </c>
      <c r="N7" s="220">
        <v>0.4742824074074074</v>
      </c>
      <c r="O7" s="208">
        <f t="shared" si="3"/>
        <v>2.4652777777777801E-2</v>
      </c>
      <c r="P7" s="208">
        <f t="shared" si="12"/>
        <v>4.895833333333377E-3</v>
      </c>
      <c r="Q7" s="208">
        <f t="shared" si="4"/>
        <v>0.16456018518518517</v>
      </c>
      <c r="R7" s="220">
        <v>0.1875</v>
      </c>
      <c r="S7" s="221">
        <v>3</v>
      </c>
      <c r="T7" s="221">
        <v>3.5</v>
      </c>
      <c r="U7" s="221">
        <v>1</v>
      </c>
      <c r="V7" s="221">
        <v>2.5</v>
      </c>
      <c r="W7" s="238">
        <f t="shared" si="13"/>
        <v>13.4</v>
      </c>
      <c r="X7" s="238">
        <f t="shared" si="14"/>
        <v>11.5</v>
      </c>
      <c r="Y7" s="238">
        <f t="shared" si="5"/>
        <v>5</v>
      </c>
      <c r="Z7" s="238">
        <f t="shared" si="6"/>
        <v>5</v>
      </c>
      <c r="AA7" s="221">
        <v>9.8000000000000007</v>
      </c>
      <c r="AB7" s="221">
        <v>8</v>
      </c>
      <c r="AC7" s="221">
        <v>4</v>
      </c>
      <c r="AD7" s="221">
        <v>4.0999999999999996</v>
      </c>
      <c r="AE7" s="221">
        <v>2</v>
      </c>
      <c r="AF7" s="238">
        <f t="shared" si="7"/>
        <v>6.5</v>
      </c>
      <c r="AG7" s="221">
        <v>2.6</v>
      </c>
      <c r="AH7" s="221">
        <v>0.4</v>
      </c>
      <c r="AI7" s="221">
        <v>5.5</v>
      </c>
      <c r="AJ7" s="238">
        <f t="shared" si="8"/>
        <v>3.5</v>
      </c>
      <c r="AK7" s="221">
        <v>3</v>
      </c>
      <c r="AL7" s="221">
        <v>5</v>
      </c>
      <c r="AM7" s="238">
        <f t="shared" si="0"/>
        <v>89.300000000000011</v>
      </c>
      <c r="AN7" s="243">
        <f t="shared" si="15"/>
        <v>3</v>
      </c>
      <c r="AO7" s="218"/>
      <c r="AP7" s="243">
        <f t="shared" si="16"/>
        <v>3</v>
      </c>
      <c r="AQ7" s="196">
        <v>9.5500000000000007</v>
      </c>
      <c r="AR7" s="196">
        <v>13</v>
      </c>
      <c r="AS7" s="196">
        <v>11.9</v>
      </c>
      <c r="AT7" s="196">
        <v>15.55</v>
      </c>
      <c r="AU7" s="196"/>
      <c r="AV7" s="197">
        <f t="shared" si="17"/>
        <v>12.5</v>
      </c>
      <c r="AW7" s="196">
        <v>10.199999999999999</v>
      </c>
      <c r="AX7" s="196">
        <v>12.75</v>
      </c>
      <c r="AY7" s="196">
        <v>12.4</v>
      </c>
      <c r="AZ7" s="196">
        <v>15.15</v>
      </c>
      <c r="BB7" s="199">
        <f t="shared" si="18"/>
        <v>12.625</v>
      </c>
      <c r="BC7" s="200">
        <v>12</v>
      </c>
      <c r="BD7" s="200">
        <f t="shared" si="19"/>
        <v>0</v>
      </c>
      <c r="BE7" s="196">
        <v>10.1</v>
      </c>
      <c r="BF7" s="196">
        <v>12.35</v>
      </c>
      <c r="BG7" s="196">
        <v>12.4</v>
      </c>
      <c r="BH7" s="196">
        <v>13.3</v>
      </c>
      <c r="BJ7" s="199">
        <f t="shared" si="9"/>
        <v>12.037500000000001</v>
      </c>
      <c r="BK7" s="196">
        <v>9</v>
      </c>
      <c r="BL7" s="196">
        <v>11.75</v>
      </c>
      <c r="BM7" s="196">
        <v>11.65</v>
      </c>
      <c r="BN7" s="196">
        <v>12.6</v>
      </c>
      <c r="BO7" s="196"/>
      <c r="BP7" s="199">
        <f>AVERAGE(BK7:BO7)</f>
        <v>11.25</v>
      </c>
      <c r="BQ7" s="200">
        <v>11</v>
      </c>
      <c r="BR7" s="200">
        <f t="shared" si="20"/>
        <v>0</v>
      </c>
    </row>
    <row r="8" spans="1:70">
      <c r="A8" s="218" t="s">
        <v>99</v>
      </c>
      <c r="B8" s="218" t="s">
        <v>126</v>
      </c>
      <c r="C8" s="219" t="s">
        <v>664</v>
      </c>
      <c r="D8" s="219">
        <v>4</v>
      </c>
      <c r="E8" s="220">
        <v>0.56631944444444504</v>
      </c>
      <c r="F8" s="220">
        <v>0.57824074074074072</v>
      </c>
      <c r="G8" s="220">
        <v>0.67746527777777776</v>
      </c>
      <c r="H8" s="208">
        <f>F8-E8</f>
        <v>1.192129629629568E-2</v>
      </c>
      <c r="I8" s="208">
        <f t="shared" si="11"/>
        <v>0</v>
      </c>
      <c r="J8" s="208">
        <f>G8-E8</f>
        <v>0.11114583333333272</v>
      </c>
      <c r="K8" s="220">
        <v>0.125</v>
      </c>
      <c r="L8" s="220">
        <v>0.30902777777777779</v>
      </c>
      <c r="M8" s="220">
        <v>0.32928240740740738</v>
      </c>
      <c r="N8" s="220">
        <v>0.46658564814814812</v>
      </c>
      <c r="O8" s="208">
        <f>M8-L8</f>
        <v>2.0254629629629595E-2</v>
      </c>
      <c r="P8" s="208">
        <f t="shared" si="12"/>
        <v>4.9768518518517046E-4</v>
      </c>
      <c r="Q8" s="208">
        <f>N8-L8</f>
        <v>0.15755787037037033</v>
      </c>
      <c r="R8" s="220">
        <v>0.1875</v>
      </c>
      <c r="S8" s="221">
        <v>3</v>
      </c>
      <c r="T8" s="221">
        <v>3</v>
      </c>
      <c r="U8" s="221">
        <v>1.5</v>
      </c>
      <c r="V8" s="221">
        <v>2.5</v>
      </c>
      <c r="W8" s="238">
        <f t="shared" si="13"/>
        <v>15</v>
      </c>
      <c r="X8" s="238">
        <f t="shared" si="14"/>
        <v>14.6</v>
      </c>
      <c r="Y8" s="238">
        <f>ROUND(MAX(MIN(Y$2+(K8-J8)*60*24*0.2,$Y$2),0),1)</f>
        <v>5</v>
      </c>
      <c r="Z8" s="238">
        <f>ROUND(MAX(MIN($Z$2+(R8-Q8)*60*24*0.2,$Z$2),0),1)</f>
        <v>5</v>
      </c>
      <c r="AA8" s="221">
        <v>10</v>
      </c>
      <c r="AB8" s="221">
        <v>8</v>
      </c>
      <c r="AC8" s="221">
        <v>4</v>
      </c>
      <c r="AD8" s="221">
        <v>4.9000000000000004</v>
      </c>
      <c r="AE8" s="221">
        <v>2</v>
      </c>
      <c r="AF8" s="238">
        <f t="shared" si="7"/>
        <v>6</v>
      </c>
      <c r="AG8" s="221">
        <v>4</v>
      </c>
      <c r="AH8" s="221">
        <v>2</v>
      </c>
      <c r="AI8" s="221">
        <v>6</v>
      </c>
      <c r="AJ8" s="238">
        <f t="shared" si="8"/>
        <v>4</v>
      </c>
      <c r="AK8" s="221">
        <v>3</v>
      </c>
      <c r="AL8" s="221">
        <v>5</v>
      </c>
      <c r="AM8" s="238">
        <f t="shared" si="0"/>
        <v>98.5</v>
      </c>
      <c r="AN8" s="243">
        <f t="shared" si="15"/>
        <v>2</v>
      </c>
      <c r="AO8" s="218"/>
      <c r="AP8" s="243">
        <f t="shared" si="16"/>
        <v>1</v>
      </c>
      <c r="AQ8" s="196">
        <v>12.55</v>
      </c>
      <c r="AR8" s="196">
        <v>10.55</v>
      </c>
      <c r="AS8" s="196">
        <v>12.15</v>
      </c>
      <c r="AT8" s="196">
        <v>13.65</v>
      </c>
      <c r="AU8" s="196"/>
      <c r="AV8" s="197">
        <f>AVERAGE(AQ8:AU8)</f>
        <v>12.225</v>
      </c>
      <c r="AW8" s="196">
        <v>13.55</v>
      </c>
      <c r="AX8" s="196">
        <v>13.6</v>
      </c>
      <c r="AY8" s="196">
        <v>12.2</v>
      </c>
      <c r="AZ8" s="196">
        <v>10.55</v>
      </c>
      <c r="BB8" s="199">
        <f t="shared" si="18"/>
        <v>12.474999999999998</v>
      </c>
      <c r="BC8" s="200">
        <v>12</v>
      </c>
      <c r="BD8" s="200">
        <f t="shared" si="19"/>
        <v>0</v>
      </c>
      <c r="BE8" s="196">
        <v>12.25</v>
      </c>
      <c r="BF8" s="196">
        <v>11.3</v>
      </c>
      <c r="BG8" s="196">
        <v>10.3</v>
      </c>
      <c r="BH8" s="196">
        <v>11.35</v>
      </c>
      <c r="BJ8" s="199">
        <f>AVERAGE(BE8:BH8)</f>
        <v>11.3</v>
      </c>
      <c r="BK8" s="196">
        <v>10.35</v>
      </c>
      <c r="BL8" s="196">
        <v>11.35</v>
      </c>
      <c r="BM8" s="196">
        <v>11.15</v>
      </c>
      <c r="BN8" s="196">
        <v>12.05</v>
      </c>
      <c r="BO8" s="196"/>
      <c r="BP8" s="199">
        <f>AVERAGE(BK8:BO8)</f>
        <v>11.225000000000001</v>
      </c>
      <c r="BQ8" s="200">
        <v>11</v>
      </c>
      <c r="BR8" s="200">
        <f>IF(ISERR(BP8),0,IF(BP8&lt;BQ8,BP8-BQ8,0))</f>
        <v>0</v>
      </c>
    </row>
    <row r="9" spans="1:70">
      <c r="A9" s="218" t="s">
        <v>99</v>
      </c>
      <c r="B9" s="218" t="s">
        <v>124</v>
      </c>
      <c r="C9" s="219" t="s">
        <v>665</v>
      </c>
      <c r="D9" s="219">
        <v>4</v>
      </c>
      <c r="E9" s="229">
        <v>0.56666666666666698</v>
      </c>
      <c r="F9" s="220">
        <v>0.58803240740740736</v>
      </c>
      <c r="G9" s="220">
        <v>0.68269675925925932</v>
      </c>
      <c r="H9" s="208">
        <f>F9-E9</f>
        <v>2.136574074074038E-2</v>
      </c>
      <c r="I9" s="208">
        <f t="shared" si="11"/>
        <v>9.4444444444446995E-3</v>
      </c>
      <c r="J9" s="208">
        <f t="shared" si="2"/>
        <v>0.11603009259259234</v>
      </c>
      <c r="K9" s="220">
        <v>0.125</v>
      </c>
      <c r="L9" s="220">
        <v>0.31145833333333334</v>
      </c>
      <c r="M9" s="220">
        <v>0.35211805555555559</v>
      </c>
      <c r="N9" s="220">
        <v>0.47605324074074074</v>
      </c>
      <c r="O9" s="208">
        <f>M9-L9</f>
        <v>4.065972222222225E-2</v>
      </c>
      <c r="P9" s="208">
        <f t="shared" si="12"/>
        <v>2.0902777777777826E-2</v>
      </c>
      <c r="Q9" s="208">
        <f t="shared" si="4"/>
        <v>0.1645949074074074</v>
      </c>
      <c r="R9" s="220">
        <v>0.1875</v>
      </c>
      <c r="S9" s="221">
        <v>0</v>
      </c>
      <c r="T9" s="221">
        <v>1.5</v>
      </c>
      <c r="U9" s="221">
        <v>0.5</v>
      </c>
      <c r="V9" s="221">
        <v>0.5</v>
      </c>
      <c r="W9" s="238">
        <f t="shared" si="13"/>
        <v>8.1999999999999993</v>
      </c>
      <c r="X9" s="238">
        <f t="shared" si="14"/>
        <v>0</v>
      </c>
      <c r="Y9" s="238">
        <f t="shared" si="5"/>
        <v>5</v>
      </c>
      <c r="Z9" s="238">
        <f t="shared" si="6"/>
        <v>5</v>
      </c>
      <c r="AA9" s="221">
        <v>6.2</v>
      </c>
      <c r="AB9" s="221">
        <v>7</v>
      </c>
      <c r="AC9" s="221">
        <v>3.6</v>
      </c>
      <c r="AD9" s="221">
        <v>2.7</v>
      </c>
      <c r="AE9" s="221">
        <v>1.8</v>
      </c>
      <c r="AF9" s="238">
        <f t="shared" si="7"/>
        <v>1.5</v>
      </c>
      <c r="AG9" s="221">
        <v>2.6</v>
      </c>
      <c r="AH9" s="221">
        <v>0.8</v>
      </c>
      <c r="AI9" s="221">
        <v>4.7</v>
      </c>
      <c r="AJ9" s="238">
        <f t="shared" si="8"/>
        <v>1</v>
      </c>
      <c r="AK9" s="221">
        <v>3</v>
      </c>
      <c r="AL9" s="221">
        <v>4.5</v>
      </c>
      <c r="AM9" s="238">
        <f t="shared" si="0"/>
        <v>57.6</v>
      </c>
      <c r="AN9" s="243">
        <f t="shared" si="15"/>
        <v>8</v>
      </c>
      <c r="AO9" s="218"/>
      <c r="AP9" s="243">
        <f t="shared" si="16"/>
        <v>8</v>
      </c>
      <c r="AQ9" s="196">
        <v>13.7</v>
      </c>
      <c r="AR9" s="196">
        <v>13.75</v>
      </c>
      <c r="AS9" s="196">
        <v>13.65</v>
      </c>
      <c r="AT9" s="196">
        <v>12.4</v>
      </c>
      <c r="AU9" s="196"/>
      <c r="AV9" s="197">
        <f t="shared" si="17"/>
        <v>13.375</v>
      </c>
      <c r="AW9" s="196">
        <v>13.3</v>
      </c>
      <c r="AX9" s="196">
        <v>13.3</v>
      </c>
      <c r="AY9" s="196">
        <v>13.2</v>
      </c>
      <c r="AZ9" s="196">
        <v>11.9</v>
      </c>
      <c r="BB9" s="199">
        <f t="shared" si="18"/>
        <v>12.924999999999999</v>
      </c>
      <c r="BC9" s="200">
        <v>12</v>
      </c>
      <c r="BD9" s="200">
        <f t="shared" si="19"/>
        <v>0</v>
      </c>
      <c r="BE9" s="196">
        <v>13.15</v>
      </c>
      <c r="BF9" s="196">
        <v>12</v>
      </c>
      <c r="BG9" s="196">
        <v>12.7</v>
      </c>
      <c r="BH9" s="196">
        <v>12.15</v>
      </c>
      <c r="BJ9" s="199">
        <f t="shared" si="9"/>
        <v>12.499999999999998</v>
      </c>
      <c r="BK9" s="196">
        <v>12.15</v>
      </c>
      <c r="BL9" s="196">
        <v>12.55</v>
      </c>
      <c r="BM9" s="196">
        <v>11.35</v>
      </c>
      <c r="BN9" s="196">
        <v>11.35</v>
      </c>
      <c r="BO9" s="196"/>
      <c r="BP9" s="199">
        <f t="shared" si="10"/>
        <v>11.850000000000001</v>
      </c>
      <c r="BQ9" s="200">
        <v>11</v>
      </c>
      <c r="BR9" s="200">
        <f t="shared" si="20"/>
        <v>0</v>
      </c>
    </row>
    <row r="10" spans="1:70">
      <c r="A10" s="218" t="s">
        <v>99</v>
      </c>
      <c r="B10" s="218" t="s">
        <v>182</v>
      </c>
      <c r="C10" s="219" t="s">
        <v>704</v>
      </c>
      <c r="D10" s="219">
        <v>4</v>
      </c>
      <c r="E10" s="220">
        <v>0.56701388888888904</v>
      </c>
      <c r="F10" s="220">
        <v>0.58797453703703706</v>
      </c>
      <c r="G10" s="220">
        <v>0.67393518518518514</v>
      </c>
      <c r="H10" s="208">
        <f>F10-E10</f>
        <v>2.096064814814802E-2</v>
      </c>
      <c r="I10" s="208">
        <f t="shared" si="11"/>
        <v>9.0393518518523397E-3</v>
      </c>
      <c r="J10" s="208">
        <f t="shared" si="2"/>
        <v>0.1069212962962961</v>
      </c>
      <c r="K10" s="220">
        <v>0.125</v>
      </c>
      <c r="L10" s="220">
        <v>0.31111111111111112</v>
      </c>
      <c r="M10" s="220">
        <v>0.33937499999999998</v>
      </c>
      <c r="N10" s="220">
        <v>0.46881944444444446</v>
      </c>
      <c r="O10" s="208">
        <f t="shared" si="3"/>
        <v>2.8263888888888866E-2</v>
      </c>
      <c r="P10" s="208">
        <f t="shared" si="12"/>
        <v>8.506944444444442E-3</v>
      </c>
      <c r="Q10" s="208">
        <f t="shared" si="4"/>
        <v>0.15770833333333334</v>
      </c>
      <c r="R10" s="220">
        <v>0.1875</v>
      </c>
      <c r="S10" s="221">
        <v>1</v>
      </c>
      <c r="T10" s="221">
        <v>3</v>
      </c>
      <c r="U10" s="221">
        <v>1</v>
      </c>
      <c r="V10" s="221">
        <v>2.5</v>
      </c>
      <c r="W10" s="238">
        <f t="shared" si="13"/>
        <v>8.5</v>
      </c>
      <c r="X10" s="238">
        <f t="shared" si="14"/>
        <v>8.9</v>
      </c>
      <c r="Y10" s="238">
        <f t="shared" si="5"/>
        <v>5</v>
      </c>
      <c r="Z10" s="238">
        <f t="shared" si="6"/>
        <v>5</v>
      </c>
      <c r="AA10" s="221">
        <v>10</v>
      </c>
      <c r="AB10" s="221">
        <v>8</v>
      </c>
      <c r="AC10" s="221">
        <v>4</v>
      </c>
      <c r="AD10" s="221">
        <v>4.4000000000000004</v>
      </c>
      <c r="AE10" s="221">
        <v>2</v>
      </c>
      <c r="AF10" s="238">
        <f t="shared" si="7"/>
        <v>4</v>
      </c>
      <c r="AG10" s="221">
        <v>3.2</v>
      </c>
      <c r="AH10" s="221">
        <v>2</v>
      </c>
      <c r="AI10" s="221">
        <v>5.8</v>
      </c>
      <c r="AJ10" s="238">
        <f t="shared" si="8"/>
        <v>3.5</v>
      </c>
      <c r="AK10" s="221">
        <v>3</v>
      </c>
      <c r="AL10" s="221">
        <v>5</v>
      </c>
      <c r="AM10" s="238">
        <f t="shared" si="0"/>
        <v>82.3</v>
      </c>
      <c r="AN10" s="243">
        <f t="shared" si="15"/>
        <v>5</v>
      </c>
      <c r="AO10" s="218"/>
      <c r="AP10" s="243">
        <f t="shared" si="16"/>
        <v>7</v>
      </c>
      <c r="AQ10" s="149">
        <v>14.9</v>
      </c>
      <c r="AR10" s="149">
        <v>11.55</v>
      </c>
      <c r="AS10" s="149">
        <v>12.25</v>
      </c>
      <c r="AT10" s="149">
        <v>13</v>
      </c>
      <c r="AU10" s="196"/>
      <c r="AV10" s="197">
        <f t="shared" si="17"/>
        <v>12.925000000000001</v>
      </c>
      <c r="AW10" s="149">
        <v>14.6</v>
      </c>
      <c r="AX10" s="149">
        <v>14.15</v>
      </c>
      <c r="AY10" s="149">
        <v>11.95</v>
      </c>
      <c r="AZ10" s="196">
        <v>12.7</v>
      </c>
      <c r="BB10" s="199">
        <f t="shared" si="18"/>
        <v>13.350000000000001</v>
      </c>
      <c r="BC10" s="200">
        <v>12</v>
      </c>
      <c r="BD10" s="200">
        <f t="shared" si="19"/>
        <v>0</v>
      </c>
      <c r="BE10" s="149">
        <v>13.85</v>
      </c>
      <c r="BF10" s="149">
        <v>11.75</v>
      </c>
      <c r="BG10" s="149">
        <v>10.85</v>
      </c>
      <c r="BH10" s="196">
        <v>11</v>
      </c>
      <c r="BJ10" s="199">
        <f t="shared" si="9"/>
        <v>11.862500000000001</v>
      </c>
      <c r="BK10" s="149">
        <v>13.3</v>
      </c>
      <c r="BL10" s="149">
        <v>11.6</v>
      </c>
      <c r="BM10" s="149">
        <v>10.4</v>
      </c>
      <c r="BN10" s="149">
        <v>10.55</v>
      </c>
      <c r="BO10" s="196"/>
      <c r="BP10" s="199">
        <f t="shared" si="10"/>
        <v>11.462499999999999</v>
      </c>
      <c r="BQ10" s="160">
        <v>11</v>
      </c>
      <c r="BR10" s="200">
        <f t="shared" si="20"/>
        <v>0</v>
      </c>
    </row>
    <row r="11" spans="1:70">
      <c r="A11" s="218" t="s">
        <v>99</v>
      </c>
      <c r="B11" s="218" t="s">
        <v>123</v>
      </c>
      <c r="C11" s="219" t="s">
        <v>705</v>
      </c>
      <c r="D11" s="219">
        <v>4</v>
      </c>
      <c r="E11" s="229">
        <v>0.56736111111111198</v>
      </c>
      <c r="F11" s="220">
        <v>0.57935185185185178</v>
      </c>
      <c r="G11" s="220">
        <v>0.67216435185185175</v>
      </c>
      <c r="H11" s="208">
        <f t="shared" si="1"/>
        <v>1.1990740740739803E-2</v>
      </c>
      <c r="I11" s="208">
        <f t="shared" si="11"/>
        <v>6.9444444444122233E-5</v>
      </c>
      <c r="J11" s="208">
        <f t="shared" si="2"/>
        <v>0.10480324074073977</v>
      </c>
      <c r="K11" s="220">
        <v>0.125</v>
      </c>
      <c r="L11" s="220">
        <v>0.30937500000000001</v>
      </c>
      <c r="M11" s="220">
        <v>0.32913194444444444</v>
      </c>
      <c r="N11" s="220">
        <v>0.46932870370370372</v>
      </c>
      <c r="O11" s="208">
        <f t="shared" si="3"/>
        <v>1.9756944444444424E-2</v>
      </c>
      <c r="P11" s="208">
        <f t="shared" si="12"/>
        <v>0</v>
      </c>
      <c r="Q11" s="208">
        <f t="shared" si="4"/>
        <v>0.15995370370370371</v>
      </c>
      <c r="R11" s="220">
        <v>0.1875</v>
      </c>
      <c r="S11" s="221">
        <v>3</v>
      </c>
      <c r="T11" s="221">
        <v>4</v>
      </c>
      <c r="U11" s="221">
        <v>1.5</v>
      </c>
      <c r="V11" s="221">
        <v>2.5</v>
      </c>
      <c r="W11" s="238">
        <f t="shared" si="13"/>
        <v>15</v>
      </c>
      <c r="X11" s="238">
        <f t="shared" si="14"/>
        <v>15</v>
      </c>
      <c r="Y11" s="238">
        <f t="shared" si="5"/>
        <v>5</v>
      </c>
      <c r="Z11" s="238">
        <f t="shared" si="6"/>
        <v>5</v>
      </c>
      <c r="AA11" s="221">
        <v>10</v>
      </c>
      <c r="AB11" s="221">
        <v>8</v>
      </c>
      <c r="AC11" s="221">
        <v>4</v>
      </c>
      <c r="AD11" s="221">
        <v>4.7</v>
      </c>
      <c r="AE11" s="221">
        <v>2</v>
      </c>
      <c r="AF11" s="238">
        <f t="shared" si="7"/>
        <v>7</v>
      </c>
      <c r="AG11" s="221">
        <v>3.8</v>
      </c>
      <c r="AH11" s="221">
        <v>2</v>
      </c>
      <c r="AI11" s="221">
        <v>6</v>
      </c>
      <c r="AJ11" s="238">
        <f t="shared" si="8"/>
        <v>4</v>
      </c>
      <c r="AK11" s="221">
        <v>3</v>
      </c>
      <c r="AL11" s="221">
        <v>5</v>
      </c>
      <c r="AM11" s="238">
        <f t="shared" si="0"/>
        <v>99.5</v>
      </c>
      <c r="AN11" s="243">
        <f t="shared" si="15"/>
        <v>1</v>
      </c>
      <c r="AO11" s="218"/>
      <c r="AP11" s="243">
        <f t="shared" si="16"/>
        <v>2</v>
      </c>
      <c r="AQ11" s="149">
        <v>11.05</v>
      </c>
      <c r="AR11" s="149">
        <v>13.15</v>
      </c>
      <c r="AS11" s="149">
        <v>12.6</v>
      </c>
      <c r="AT11" s="149">
        <v>12.35</v>
      </c>
      <c r="AU11" s="149"/>
      <c r="AV11" s="197">
        <f t="shared" si="17"/>
        <v>12.287500000000001</v>
      </c>
      <c r="AW11" s="149">
        <v>13.1</v>
      </c>
      <c r="AX11" s="149">
        <v>12.6</v>
      </c>
      <c r="AY11" s="149">
        <v>12.35</v>
      </c>
      <c r="AZ11" s="149">
        <v>11</v>
      </c>
      <c r="BA11" s="149"/>
      <c r="BB11" s="199">
        <f t="shared" si="18"/>
        <v>12.262499999999999</v>
      </c>
      <c r="BC11" s="200">
        <v>12</v>
      </c>
      <c r="BD11" s="200">
        <f t="shared" si="19"/>
        <v>0</v>
      </c>
      <c r="BE11" s="149">
        <v>12.25</v>
      </c>
      <c r="BF11" s="149">
        <v>11.5</v>
      </c>
      <c r="BG11" s="149">
        <v>11.6</v>
      </c>
      <c r="BH11" s="149">
        <v>11.2</v>
      </c>
      <c r="BI11" s="149"/>
      <c r="BJ11" s="199">
        <f t="shared" si="9"/>
        <v>11.637499999999999</v>
      </c>
      <c r="BK11" s="149">
        <v>11.3</v>
      </c>
      <c r="BL11" s="149">
        <v>11.3</v>
      </c>
      <c r="BM11" s="149">
        <v>11.55</v>
      </c>
      <c r="BN11" s="149">
        <v>10.75</v>
      </c>
      <c r="BO11" s="149"/>
      <c r="BP11" s="199">
        <f t="shared" si="10"/>
        <v>11.225000000000001</v>
      </c>
      <c r="BQ11" s="160">
        <v>11</v>
      </c>
      <c r="BR11" s="200">
        <f t="shared" si="20"/>
        <v>0</v>
      </c>
    </row>
    <row r="12" spans="1:70">
      <c r="A12" s="218" t="s">
        <v>99</v>
      </c>
      <c r="B12" s="218" t="s">
        <v>641</v>
      </c>
      <c r="C12" s="219" t="s">
        <v>706</v>
      </c>
      <c r="D12" s="219">
        <v>4</v>
      </c>
      <c r="E12" s="220">
        <v>0.56770833333333404</v>
      </c>
      <c r="F12" s="220">
        <v>0.58539351851851851</v>
      </c>
      <c r="G12" s="220">
        <v>0.67733796296296289</v>
      </c>
      <c r="H12" s="208">
        <f t="shared" si="1"/>
        <v>1.7685185185184471E-2</v>
      </c>
      <c r="I12" s="208">
        <f t="shared" si="11"/>
        <v>5.7638888888887907E-3</v>
      </c>
      <c r="J12" s="208">
        <f t="shared" si="2"/>
        <v>0.10962962962962886</v>
      </c>
      <c r="K12" s="220">
        <v>0.125</v>
      </c>
      <c r="L12" s="220">
        <v>0.31041666666666667</v>
      </c>
      <c r="M12" s="220">
        <v>0.34052083333333333</v>
      </c>
      <c r="N12" s="220">
        <v>0.47292824074074075</v>
      </c>
      <c r="O12" s="208">
        <f t="shared" si="3"/>
        <v>3.0104166666666654E-2</v>
      </c>
      <c r="P12" s="208">
        <f t="shared" si="12"/>
        <v>1.034722222222223E-2</v>
      </c>
      <c r="Q12" s="208">
        <f t="shared" si="4"/>
        <v>0.16251157407407407</v>
      </c>
      <c r="R12" s="220">
        <v>0.1875</v>
      </c>
      <c r="S12" s="221">
        <v>1</v>
      </c>
      <c r="T12" s="221">
        <v>3</v>
      </c>
      <c r="U12" s="221">
        <v>1</v>
      </c>
      <c r="V12" s="221">
        <v>2</v>
      </c>
      <c r="W12" s="238">
        <f t="shared" si="13"/>
        <v>10.9</v>
      </c>
      <c r="X12" s="238">
        <f t="shared" si="14"/>
        <v>7.5</v>
      </c>
      <c r="Y12" s="238">
        <f t="shared" si="5"/>
        <v>5</v>
      </c>
      <c r="Z12" s="238">
        <f t="shared" si="6"/>
        <v>5</v>
      </c>
      <c r="AA12" s="221">
        <v>8.8000000000000007</v>
      </c>
      <c r="AB12" s="221">
        <v>8</v>
      </c>
      <c r="AC12" s="221">
        <v>4</v>
      </c>
      <c r="AD12" s="221">
        <v>4</v>
      </c>
      <c r="AE12" s="221">
        <v>1.6</v>
      </c>
      <c r="AF12" s="238">
        <f t="shared" si="7"/>
        <v>4</v>
      </c>
      <c r="AG12" s="221">
        <v>3</v>
      </c>
      <c r="AH12" s="221">
        <v>2</v>
      </c>
      <c r="AI12" s="221">
        <v>5.8</v>
      </c>
      <c r="AJ12" s="238">
        <f t="shared" si="8"/>
        <v>3</v>
      </c>
      <c r="AK12" s="221">
        <v>3</v>
      </c>
      <c r="AL12" s="221">
        <v>5</v>
      </c>
      <c r="AM12" s="238">
        <f>SUM(W12:AL12)</f>
        <v>80.600000000000009</v>
      </c>
      <c r="AN12" s="243">
        <f>RANK(AM12,$AM$3:$AM$13)</f>
        <v>6</v>
      </c>
      <c r="AO12" s="218"/>
      <c r="AP12" s="243">
        <f t="shared" si="16"/>
        <v>5</v>
      </c>
      <c r="AQ12" s="149">
        <v>12.2</v>
      </c>
      <c r="AR12" s="149">
        <v>14.45</v>
      </c>
      <c r="AS12" s="149">
        <v>14.05</v>
      </c>
      <c r="AT12" s="149">
        <v>12.05</v>
      </c>
      <c r="AU12" s="149"/>
      <c r="AV12" s="197">
        <f t="shared" si="17"/>
        <v>13.1875</v>
      </c>
      <c r="AW12" s="149">
        <v>11.9</v>
      </c>
      <c r="AX12" s="149">
        <v>14.45</v>
      </c>
      <c r="AY12" s="149">
        <v>14</v>
      </c>
      <c r="AZ12" s="149">
        <v>12</v>
      </c>
      <c r="BA12" s="81"/>
      <c r="BB12" s="199">
        <f t="shared" si="18"/>
        <v>13.0875</v>
      </c>
      <c r="BC12" s="200">
        <v>12</v>
      </c>
      <c r="BD12" s="200">
        <f t="shared" si="19"/>
        <v>0</v>
      </c>
      <c r="BE12" s="149">
        <v>10.85</v>
      </c>
      <c r="BF12" s="149">
        <v>12.25</v>
      </c>
      <c r="BG12" s="149">
        <v>12.85</v>
      </c>
      <c r="BH12" s="149">
        <v>11.95</v>
      </c>
      <c r="BI12" s="81"/>
      <c r="BJ12" s="199">
        <f t="shared" si="9"/>
        <v>11.975000000000001</v>
      </c>
      <c r="BK12" s="149">
        <v>11</v>
      </c>
      <c r="BL12" s="149">
        <v>13</v>
      </c>
      <c r="BM12" s="149">
        <v>11.4</v>
      </c>
      <c r="BN12" s="149">
        <v>12.7</v>
      </c>
      <c r="BO12" s="149"/>
      <c r="BP12" s="199">
        <f t="shared" si="10"/>
        <v>12.024999999999999</v>
      </c>
      <c r="BQ12" s="160">
        <v>11</v>
      </c>
      <c r="BR12" s="200">
        <f t="shared" si="20"/>
        <v>0</v>
      </c>
    </row>
    <row r="13" spans="1:70" ht="14.25" thickBot="1">
      <c r="A13" s="223" t="s">
        <v>99</v>
      </c>
      <c r="B13" s="223" t="s">
        <v>590</v>
      </c>
      <c r="C13" s="224" t="s">
        <v>644</v>
      </c>
      <c r="D13" s="224">
        <v>4</v>
      </c>
      <c r="E13" s="225">
        <v>0.56805555555555598</v>
      </c>
      <c r="F13" s="225">
        <v>0.58597222222222223</v>
      </c>
      <c r="G13" s="225">
        <v>0.68696759259259255</v>
      </c>
      <c r="H13" s="209">
        <f t="shared" si="1"/>
        <v>1.7916666666666248E-2</v>
      </c>
      <c r="I13" s="209">
        <f t="shared" si="11"/>
        <v>5.9953703703705674E-3</v>
      </c>
      <c r="J13" s="209">
        <f t="shared" si="2"/>
        <v>0.11891203703703657</v>
      </c>
      <c r="K13" s="225">
        <v>0.125</v>
      </c>
      <c r="L13" s="225">
        <v>0.3107638888888889</v>
      </c>
      <c r="M13" s="225">
        <v>0.36972222222222223</v>
      </c>
      <c r="N13" s="225">
        <v>0.50452546296296297</v>
      </c>
      <c r="O13" s="209">
        <f t="shared" si="3"/>
        <v>5.8958333333333335E-2</v>
      </c>
      <c r="P13" s="209">
        <f t="shared" si="12"/>
        <v>3.9201388888888911E-2</v>
      </c>
      <c r="Q13" s="209">
        <f t="shared" si="4"/>
        <v>0.19376157407407407</v>
      </c>
      <c r="R13" s="225">
        <v>0.1875</v>
      </c>
      <c r="S13" s="226">
        <v>0.5</v>
      </c>
      <c r="T13" s="226">
        <v>0.5</v>
      </c>
      <c r="U13" s="226">
        <v>0.5</v>
      </c>
      <c r="V13" s="226">
        <v>0</v>
      </c>
      <c r="W13" s="239">
        <f t="shared" si="13"/>
        <v>10.7</v>
      </c>
      <c r="X13" s="239">
        <f t="shared" si="14"/>
        <v>0</v>
      </c>
      <c r="Y13" s="239">
        <f t="shared" si="5"/>
        <v>5</v>
      </c>
      <c r="Z13" s="239">
        <f t="shared" si="6"/>
        <v>3.2</v>
      </c>
      <c r="AA13" s="226">
        <v>7</v>
      </c>
      <c r="AB13" s="226">
        <v>6.7</v>
      </c>
      <c r="AC13" s="226">
        <v>3.6</v>
      </c>
      <c r="AD13" s="226">
        <v>0</v>
      </c>
      <c r="AE13" s="226">
        <v>1.2</v>
      </c>
      <c r="AF13" s="239">
        <f t="shared" si="7"/>
        <v>1</v>
      </c>
      <c r="AG13" s="226">
        <v>2</v>
      </c>
      <c r="AH13" s="226">
        <v>0.4</v>
      </c>
      <c r="AI13" s="226">
        <v>6</v>
      </c>
      <c r="AJ13" s="239">
        <f t="shared" si="8"/>
        <v>0.5</v>
      </c>
      <c r="AK13" s="226">
        <v>3</v>
      </c>
      <c r="AL13" s="226">
        <v>2</v>
      </c>
      <c r="AM13" s="239"/>
      <c r="AN13" s="244"/>
      <c r="AO13" s="223" t="s">
        <v>731</v>
      </c>
      <c r="AP13" s="244">
        <f t="shared" si="16"/>
        <v>6</v>
      </c>
      <c r="AQ13" s="149">
        <v>14</v>
      </c>
      <c r="AR13" s="149">
        <v>12.05</v>
      </c>
      <c r="AS13" s="149">
        <v>14.9</v>
      </c>
      <c r="AT13" s="149">
        <v>12.2</v>
      </c>
      <c r="AU13" s="149"/>
      <c r="AV13" s="197">
        <f t="shared" si="17"/>
        <v>13.287500000000001</v>
      </c>
      <c r="AW13" s="149">
        <v>13.65</v>
      </c>
      <c r="AX13" s="149">
        <v>14.8</v>
      </c>
      <c r="AY13" s="149">
        <v>11.55</v>
      </c>
      <c r="AZ13" s="149">
        <v>11.95</v>
      </c>
      <c r="BA13" s="149"/>
      <c r="BB13" s="199">
        <f t="shared" si="18"/>
        <v>12.987500000000001</v>
      </c>
      <c r="BC13" s="200">
        <v>12</v>
      </c>
      <c r="BD13" s="200">
        <f t="shared" si="19"/>
        <v>0</v>
      </c>
      <c r="BE13" s="149">
        <v>10.75</v>
      </c>
      <c r="BF13" s="149">
        <v>11.9</v>
      </c>
      <c r="BG13" s="149">
        <v>10.55</v>
      </c>
      <c r="BH13" s="149">
        <v>11</v>
      </c>
      <c r="BI13" s="149"/>
      <c r="BJ13" s="199">
        <f t="shared" si="9"/>
        <v>11.05</v>
      </c>
      <c r="BK13" s="149">
        <v>10.5</v>
      </c>
      <c r="BL13" s="149">
        <v>10.45</v>
      </c>
      <c r="BM13" s="149">
        <v>11.55</v>
      </c>
      <c r="BN13" s="149"/>
      <c r="BO13" s="149"/>
      <c r="BP13" s="199">
        <f t="shared" si="10"/>
        <v>10.833333333333334</v>
      </c>
      <c r="BQ13" s="160">
        <v>11</v>
      </c>
      <c r="BR13" s="200">
        <f t="shared" si="20"/>
        <v>-0.16666666666666607</v>
      </c>
    </row>
    <row r="14" spans="1:70">
      <c r="A14" s="227" t="s">
        <v>100</v>
      </c>
      <c r="B14" s="227" t="s">
        <v>707</v>
      </c>
      <c r="C14" s="228" t="s">
        <v>666</v>
      </c>
      <c r="D14" s="228">
        <v>5</v>
      </c>
      <c r="E14" s="229">
        <v>0.57847222222222217</v>
      </c>
      <c r="F14" s="229">
        <v>0.59805555555555556</v>
      </c>
      <c r="G14" s="229">
        <v>0.68585648148148148</v>
      </c>
      <c r="H14" s="210">
        <f t="shared" si="1"/>
        <v>1.9583333333333397E-2</v>
      </c>
      <c r="I14" s="210">
        <f t="shared" si="11"/>
        <v>7.6620370370377167E-3</v>
      </c>
      <c r="J14" s="210">
        <f t="shared" si="2"/>
        <v>0.10738425925925932</v>
      </c>
      <c r="K14" s="229">
        <v>0.125</v>
      </c>
      <c r="L14" s="229">
        <v>0.31944444444444448</v>
      </c>
      <c r="M14" s="229">
        <v>0.35030092592592593</v>
      </c>
      <c r="N14" s="229">
        <v>0.46892361111111108</v>
      </c>
      <c r="O14" s="210">
        <f t="shared" si="3"/>
        <v>3.0856481481481457E-2</v>
      </c>
      <c r="P14" s="210">
        <f t="shared" si="12"/>
        <v>1.1099537037037033E-2</v>
      </c>
      <c r="Q14" s="210">
        <f t="shared" si="4"/>
        <v>0.14947916666666661</v>
      </c>
      <c r="R14" s="229">
        <v>0.1875</v>
      </c>
      <c r="S14" s="230">
        <v>2.5</v>
      </c>
      <c r="T14" s="230">
        <v>1</v>
      </c>
      <c r="U14" s="230">
        <v>1</v>
      </c>
      <c r="V14" s="230">
        <v>1.5</v>
      </c>
      <c r="W14" s="240">
        <f t="shared" si="13"/>
        <v>9.5</v>
      </c>
      <c r="X14" s="240">
        <f t="shared" si="14"/>
        <v>7</v>
      </c>
      <c r="Y14" s="240">
        <f t="shared" si="5"/>
        <v>5</v>
      </c>
      <c r="Z14" s="240">
        <f t="shared" si="6"/>
        <v>5</v>
      </c>
      <c r="AA14" s="230">
        <v>5.9</v>
      </c>
      <c r="AB14" s="230">
        <v>6.5</v>
      </c>
      <c r="AC14" s="230">
        <v>4</v>
      </c>
      <c r="AD14" s="230">
        <v>3.3</v>
      </c>
      <c r="AE14" s="230">
        <v>1.4</v>
      </c>
      <c r="AF14" s="240">
        <f t="shared" si="7"/>
        <v>3.5</v>
      </c>
      <c r="AG14" s="230">
        <v>3.4</v>
      </c>
      <c r="AH14" s="230">
        <v>0.8</v>
      </c>
      <c r="AI14" s="230">
        <v>5.4</v>
      </c>
      <c r="AJ14" s="240">
        <f t="shared" si="8"/>
        <v>2.5</v>
      </c>
      <c r="AK14" s="230">
        <v>3</v>
      </c>
      <c r="AL14" s="230">
        <v>5</v>
      </c>
      <c r="AM14" s="240">
        <f t="shared" si="0"/>
        <v>71.199999999999989</v>
      </c>
      <c r="AN14" s="245">
        <f>RANK(AM14,$AM$14:$AM$31)</f>
        <v>11</v>
      </c>
      <c r="AO14" s="227"/>
      <c r="AP14" s="245">
        <f>RANK(I14,$I$14:$I$31,1)</f>
        <v>11</v>
      </c>
      <c r="AQ14" s="149">
        <v>15.05</v>
      </c>
      <c r="AR14" s="149">
        <v>12.95</v>
      </c>
      <c r="AS14" s="149">
        <v>13.2</v>
      </c>
      <c r="AT14" s="149">
        <v>14.4</v>
      </c>
      <c r="AU14" s="149">
        <v>13.15</v>
      </c>
      <c r="AV14" s="197">
        <f t="shared" si="17"/>
        <v>13.75</v>
      </c>
      <c r="AW14" s="149">
        <v>15.2</v>
      </c>
      <c r="AX14" s="149">
        <v>13.1</v>
      </c>
      <c r="AY14" s="149">
        <v>14.1</v>
      </c>
      <c r="AZ14" s="149">
        <v>12.4</v>
      </c>
      <c r="BA14" s="149">
        <v>12.65</v>
      </c>
      <c r="BB14" s="199">
        <f t="shared" si="18"/>
        <v>13.7</v>
      </c>
      <c r="BC14" s="200">
        <v>12</v>
      </c>
      <c r="BD14" s="200">
        <f t="shared" si="19"/>
        <v>0</v>
      </c>
      <c r="BE14" s="149">
        <v>13.3</v>
      </c>
      <c r="BF14" s="149">
        <v>11.65</v>
      </c>
      <c r="BG14" s="149">
        <v>13.1</v>
      </c>
      <c r="BH14" s="149">
        <v>12.1</v>
      </c>
      <c r="BI14" s="149">
        <v>11.9</v>
      </c>
      <c r="BJ14" s="199">
        <f>AVERAGE(BE14:BI14)</f>
        <v>12.41</v>
      </c>
      <c r="BK14" s="149">
        <v>12</v>
      </c>
      <c r="BL14" s="149">
        <v>11.1</v>
      </c>
      <c r="BM14" s="149">
        <v>11.45</v>
      </c>
      <c r="BN14" s="149">
        <v>11.75</v>
      </c>
      <c r="BO14" s="149">
        <v>11.75</v>
      </c>
      <c r="BP14" s="199">
        <f>AVERAGE(BK14:BO14)</f>
        <v>11.61</v>
      </c>
      <c r="BQ14" s="160">
        <v>11</v>
      </c>
      <c r="BR14" s="200">
        <f t="shared" si="20"/>
        <v>0</v>
      </c>
    </row>
    <row r="15" spans="1:70">
      <c r="A15" s="218" t="s">
        <v>100</v>
      </c>
      <c r="B15" s="218" t="s">
        <v>730</v>
      </c>
      <c r="C15" s="219" t="s">
        <v>667</v>
      </c>
      <c r="D15" s="219">
        <v>4</v>
      </c>
      <c r="E15" s="220">
        <v>0.57881944444444444</v>
      </c>
      <c r="F15" s="220">
        <v>0.59297453703703706</v>
      </c>
      <c r="G15" s="220">
        <v>0.67814814814814817</v>
      </c>
      <c r="H15" s="208">
        <f t="shared" si="1"/>
        <v>1.4155092592592622E-2</v>
      </c>
      <c r="I15" s="208">
        <f t="shared" si="11"/>
        <v>2.2337962962969415E-3</v>
      </c>
      <c r="J15" s="208">
        <f>G15-E15</f>
        <v>9.9328703703703725E-2</v>
      </c>
      <c r="K15" s="220">
        <v>0.125</v>
      </c>
      <c r="L15" s="220">
        <v>0.31631944444444443</v>
      </c>
      <c r="M15" s="220">
        <v>0.33863425925925927</v>
      </c>
      <c r="N15" s="220">
        <v>0.47218749999999998</v>
      </c>
      <c r="O15" s="208">
        <f t="shared" si="3"/>
        <v>2.2314814814814843E-2</v>
      </c>
      <c r="P15" s="208">
        <f t="shared" si="12"/>
        <v>2.5578703703704186E-3</v>
      </c>
      <c r="Q15" s="208">
        <f t="shared" si="4"/>
        <v>0.15586805555555555</v>
      </c>
      <c r="R15" s="220">
        <v>0.1875</v>
      </c>
      <c r="S15" s="221">
        <v>3</v>
      </c>
      <c r="T15" s="221">
        <v>3</v>
      </c>
      <c r="U15" s="221">
        <v>1.5</v>
      </c>
      <c r="V15" s="221">
        <v>2.5</v>
      </c>
      <c r="W15" s="238">
        <f t="shared" si="13"/>
        <v>13.4</v>
      </c>
      <c r="X15" s="238">
        <f t="shared" si="14"/>
        <v>13.2</v>
      </c>
      <c r="Y15" s="238">
        <f t="shared" si="5"/>
        <v>5</v>
      </c>
      <c r="Z15" s="238">
        <f t="shared" si="6"/>
        <v>5</v>
      </c>
      <c r="AA15" s="221">
        <v>10</v>
      </c>
      <c r="AB15" s="221">
        <v>8</v>
      </c>
      <c r="AC15" s="221">
        <v>4</v>
      </c>
      <c r="AD15" s="221">
        <v>5</v>
      </c>
      <c r="AE15" s="221">
        <v>2</v>
      </c>
      <c r="AF15" s="238">
        <f t="shared" si="7"/>
        <v>6</v>
      </c>
      <c r="AG15" s="221">
        <v>3.8</v>
      </c>
      <c r="AH15" s="221">
        <v>2</v>
      </c>
      <c r="AI15" s="221">
        <v>6</v>
      </c>
      <c r="AJ15" s="238">
        <f t="shared" si="8"/>
        <v>4</v>
      </c>
      <c r="AK15" s="221">
        <v>3</v>
      </c>
      <c r="AL15" s="221">
        <v>5</v>
      </c>
      <c r="AM15" s="238">
        <f t="shared" si="0"/>
        <v>95.399999999999991</v>
      </c>
      <c r="AN15" s="243">
        <f t="shared" ref="AN15:AN31" si="21">RANK(AM15,$AM$14:$AM$31)</f>
        <v>1</v>
      </c>
      <c r="AO15" s="218"/>
      <c r="AP15" s="243">
        <f t="shared" ref="AP15:AP31" si="22">RANK(I15,$I$14:$I$31,1)</f>
        <v>2</v>
      </c>
      <c r="AQ15" s="149">
        <v>12.65</v>
      </c>
      <c r="AR15" s="149">
        <v>11.8</v>
      </c>
      <c r="AS15" s="149">
        <v>12.1</v>
      </c>
      <c r="AT15" s="149">
        <v>12.85</v>
      </c>
      <c r="AU15" s="149"/>
      <c r="AV15" s="197">
        <f t="shared" si="17"/>
        <v>12.350000000000001</v>
      </c>
      <c r="AW15" s="149">
        <v>12.7</v>
      </c>
      <c r="AX15" s="149">
        <v>11.55</v>
      </c>
      <c r="AY15" s="149">
        <v>12.05</v>
      </c>
      <c r="AZ15" s="149">
        <v>12.7</v>
      </c>
      <c r="BA15" s="81"/>
      <c r="BB15" s="199">
        <f t="shared" si="18"/>
        <v>12.25</v>
      </c>
      <c r="BC15" s="200">
        <v>12</v>
      </c>
      <c r="BD15" s="200">
        <f t="shared" si="19"/>
        <v>0</v>
      </c>
      <c r="BE15" s="149">
        <v>11.95</v>
      </c>
      <c r="BF15" s="149">
        <v>10.8</v>
      </c>
      <c r="BG15" s="149">
        <v>11.1</v>
      </c>
      <c r="BH15" s="149">
        <v>12</v>
      </c>
      <c r="BI15" s="81"/>
      <c r="BJ15" s="199">
        <f>AVERAGE(BE15:BI15)</f>
        <v>11.4625</v>
      </c>
      <c r="BK15" s="149">
        <v>10.85</v>
      </c>
      <c r="BL15" s="149">
        <v>11.4</v>
      </c>
      <c r="BM15" s="149">
        <v>11.85</v>
      </c>
      <c r="BN15" s="149">
        <v>11.2</v>
      </c>
      <c r="BO15" s="149"/>
      <c r="BP15" s="199">
        <f>AVERAGE(BK15:BO15)</f>
        <v>11.324999999999999</v>
      </c>
      <c r="BQ15" s="160">
        <v>11</v>
      </c>
      <c r="BR15" s="200">
        <f t="shared" si="20"/>
        <v>0</v>
      </c>
    </row>
    <row r="16" spans="1:70">
      <c r="A16" s="218" t="s">
        <v>100</v>
      </c>
      <c r="B16" s="218" t="s">
        <v>709</v>
      </c>
      <c r="C16" s="219" t="s">
        <v>668</v>
      </c>
      <c r="D16" s="219">
        <v>4</v>
      </c>
      <c r="E16" s="229">
        <v>0.57916666666666705</v>
      </c>
      <c r="F16" s="220">
        <v>0.59482638888888884</v>
      </c>
      <c r="G16" s="220">
        <v>0.67709490740740741</v>
      </c>
      <c r="H16" s="208">
        <f t="shared" si="1"/>
        <v>1.5659722222221784E-2</v>
      </c>
      <c r="I16" s="208">
        <f t="shared" si="11"/>
        <v>3.7384259259261032E-3</v>
      </c>
      <c r="J16" s="208">
        <f t="shared" si="2"/>
        <v>9.7928240740740358E-2</v>
      </c>
      <c r="K16" s="220">
        <v>0.125</v>
      </c>
      <c r="L16" s="220">
        <v>0.31770833333333331</v>
      </c>
      <c r="M16" s="220">
        <v>0.34393518518518523</v>
      </c>
      <c r="N16" s="220">
        <v>0.48538194444444444</v>
      </c>
      <c r="O16" s="208">
        <f t="shared" si="3"/>
        <v>2.6226851851851918E-2</v>
      </c>
      <c r="P16" s="208">
        <f t="shared" si="12"/>
        <v>6.4699074074074936E-3</v>
      </c>
      <c r="Q16" s="208">
        <f t="shared" si="4"/>
        <v>0.16767361111111112</v>
      </c>
      <c r="R16" s="220">
        <v>0.1875</v>
      </c>
      <c r="S16" s="221">
        <v>3</v>
      </c>
      <c r="T16" s="221">
        <v>4</v>
      </c>
      <c r="U16" s="221">
        <v>0.7</v>
      </c>
      <c r="V16" s="221">
        <v>1.5</v>
      </c>
      <c r="W16" s="238">
        <f t="shared" si="13"/>
        <v>12.3</v>
      </c>
      <c r="X16" s="238">
        <f t="shared" si="14"/>
        <v>10.3</v>
      </c>
      <c r="Y16" s="238">
        <f t="shared" si="5"/>
        <v>5</v>
      </c>
      <c r="Z16" s="238">
        <f t="shared" si="6"/>
        <v>5</v>
      </c>
      <c r="AA16" s="221">
        <v>9.3000000000000007</v>
      </c>
      <c r="AB16" s="221">
        <v>8</v>
      </c>
      <c r="AC16" s="221">
        <v>3.6</v>
      </c>
      <c r="AD16" s="221">
        <v>1.8</v>
      </c>
      <c r="AE16" s="221">
        <v>2</v>
      </c>
      <c r="AF16" s="238">
        <f t="shared" si="7"/>
        <v>7</v>
      </c>
      <c r="AG16" s="221">
        <v>2.8</v>
      </c>
      <c r="AH16" s="221">
        <v>1.2</v>
      </c>
      <c r="AI16" s="221">
        <v>5.4</v>
      </c>
      <c r="AJ16" s="238">
        <f t="shared" si="8"/>
        <v>2.2000000000000002</v>
      </c>
      <c r="AK16" s="221">
        <v>3</v>
      </c>
      <c r="AL16" s="221">
        <v>5</v>
      </c>
      <c r="AM16" s="238">
        <f t="shared" si="0"/>
        <v>83.90000000000002</v>
      </c>
      <c r="AN16" s="243">
        <f t="shared" si="21"/>
        <v>7</v>
      </c>
      <c r="AO16" s="218"/>
      <c r="AP16" s="243">
        <f t="shared" si="22"/>
        <v>6</v>
      </c>
      <c r="AQ16" s="149">
        <v>13.65</v>
      </c>
      <c r="AR16" s="149">
        <v>13</v>
      </c>
      <c r="AS16" s="149">
        <v>13.95</v>
      </c>
      <c r="AT16" s="149">
        <v>12.5</v>
      </c>
      <c r="AU16" s="149"/>
      <c r="AV16" s="197">
        <f t="shared" si="17"/>
        <v>13.274999999999999</v>
      </c>
      <c r="AW16" s="149">
        <v>13.5</v>
      </c>
      <c r="AX16" s="149">
        <v>13.65</v>
      </c>
      <c r="AY16" s="149">
        <v>12.7</v>
      </c>
      <c r="AZ16" s="149">
        <v>12.85</v>
      </c>
      <c r="BA16" s="81"/>
      <c r="BB16" s="199">
        <f t="shared" si="18"/>
        <v>13.174999999999999</v>
      </c>
      <c r="BC16" s="200">
        <v>12</v>
      </c>
      <c r="BD16" s="200">
        <f t="shared" si="19"/>
        <v>0</v>
      </c>
      <c r="BE16" s="149">
        <v>12.7</v>
      </c>
      <c r="BF16" s="149">
        <v>12.35</v>
      </c>
      <c r="BG16" s="149">
        <v>12.25</v>
      </c>
      <c r="BH16" s="149">
        <v>10.3</v>
      </c>
      <c r="BI16" s="81"/>
      <c r="BJ16" s="199">
        <f t="shared" ref="BJ16:BJ21" si="23">AVERAGE(BE16:BH16)</f>
        <v>11.899999999999999</v>
      </c>
      <c r="BK16" s="149">
        <v>12.2</v>
      </c>
      <c r="BL16" s="149">
        <v>12.2</v>
      </c>
      <c r="BM16" s="149">
        <v>11.3</v>
      </c>
      <c r="BN16" s="149">
        <v>11.2</v>
      </c>
      <c r="BO16" s="149"/>
      <c r="BP16" s="199">
        <f t="shared" si="10"/>
        <v>11.725000000000001</v>
      </c>
      <c r="BQ16" s="160">
        <v>11</v>
      </c>
      <c r="BR16" s="200">
        <f t="shared" si="20"/>
        <v>0</v>
      </c>
    </row>
    <row r="17" spans="1:70">
      <c r="A17" s="218" t="s">
        <v>100</v>
      </c>
      <c r="B17" s="218" t="s">
        <v>711</v>
      </c>
      <c r="C17" s="219" t="s">
        <v>669</v>
      </c>
      <c r="D17" s="219">
        <v>4</v>
      </c>
      <c r="E17" s="220">
        <v>0.57951388888888899</v>
      </c>
      <c r="F17" s="220">
        <v>0.59289351851851857</v>
      </c>
      <c r="G17" s="220">
        <v>0.69021990740740735</v>
      </c>
      <c r="H17" s="208">
        <f>F17-E17</f>
        <v>1.3379629629629575E-2</v>
      </c>
      <c r="I17" s="208">
        <f t="shared" si="11"/>
        <v>1.4583333333338944E-3</v>
      </c>
      <c r="J17" s="208">
        <f>G17-E17</f>
        <v>0.11070601851851836</v>
      </c>
      <c r="K17" s="220">
        <v>0.125</v>
      </c>
      <c r="L17" s="220">
        <v>0.31597222222222221</v>
      </c>
      <c r="M17" s="220">
        <v>0.33849537037037036</v>
      </c>
      <c r="N17" s="220">
        <v>0.48692129629629632</v>
      </c>
      <c r="O17" s="208">
        <f>M17-L17</f>
        <v>2.2523148148148153E-2</v>
      </c>
      <c r="P17" s="208">
        <f t="shared" si="12"/>
        <v>2.766203703703729E-3</v>
      </c>
      <c r="Q17" s="208">
        <f>N17-L17</f>
        <v>0.17094907407407411</v>
      </c>
      <c r="R17" s="220">
        <v>0.1875</v>
      </c>
      <c r="S17" s="221">
        <v>3</v>
      </c>
      <c r="T17" s="221">
        <v>4</v>
      </c>
      <c r="U17" s="221">
        <v>1.5</v>
      </c>
      <c r="V17" s="221">
        <v>2.5</v>
      </c>
      <c r="W17" s="238">
        <f t="shared" si="13"/>
        <v>13.9</v>
      </c>
      <c r="X17" s="238">
        <f t="shared" si="14"/>
        <v>13</v>
      </c>
      <c r="Y17" s="238">
        <f>ROUND(MAX(MIN(Y$2+(K17-J17)*60*24*0.2,$Y$2),0),1)</f>
        <v>5</v>
      </c>
      <c r="Z17" s="238">
        <f>ROUND(MAX(MIN($Z$2+(R17-Q17)*60*24*0.2,$Z$2),0),1)</f>
        <v>5</v>
      </c>
      <c r="AA17" s="221">
        <v>9</v>
      </c>
      <c r="AB17" s="221">
        <v>7.8</v>
      </c>
      <c r="AC17" s="221">
        <v>4</v>
      </c>
      <c r="AD17" s="221">
        <v>4.4000000000000004</v>
      </c>
      <c r="AE17" s="221">
        <v>2</v>
      </c>
      <c r="AF17" s="238">
        <f t="shared" si="7"/>
        <v>7</v>
      </c>
      <c r="AG17" s="221">
        <v>2.6</v>
      </c>
      <c r="AH17" s="221">
        <v>1.8</v>
      </c>
      <c r="AI17" s="221">
        <v>6</v>
      </c>
      <c r="AJ17" s="238">
        <f t="shared" si="8"/>
        <v>4</v>
      </c>
      <c r="AK17" s="221">
        <v>3</v>
      </c>
      <c r="AL17" s="221">
        <v>5</v>
      </c>
      <c r="AM17" s="238">
        <f t="shared" si="0"/>
        <v>93.499999999999986</v>
      </c>
      <c r="AN17" s="243">
        <f t="shared" si="21"/>
        <v>2</v>
      </c>
      <c r="AO17" s="218"/>
      <c r="AP17" s="243">
        <f t="shared" si="22"/>
        <v>1</v>
      </c>
      <c r="AQ17" s="149">
        <v>13.5</v>
      </c>
      <c r="AR17" s="149">
        <v>13.85</v>
      </c>
      <c r="AS17" s="149">
        <v>11.1</v>
      </c>
      <c r="AT17" s="149">
        <v>10.95</v>
      </c>
      <c r="AU17" s="149"/>
      <c r="AV17" s="197">
        <f>AVERAGE(AQ17:AU17)</f>
        <v>12.350000000000001</v>
      </c>
      <c r="AW17" s="149">
        <v>11.15</v>
      </c>
      <c r="AX17" s="149">
        <v>10.8</v>
      </c>
      <c r="AY17" s="149">
        <v>13.45</v>
      </c>
      <c r="AZ17" s="149">
        <v>13.65</v>
      </c>
      <c r="BA17" s="81"/>
      <c r="BB17" s="199">
        <f t="shared" si="18"/>
        <v>12.262500000000001</v>
      </c>
      <c r="BC17" s="200">
        <v>12</v>
      </c>
      <c r="BD17" s="200">
        <f t="shared" si="19"/>
        <v>0</v>
      </c>
      <c r="BE17" s="149">
        <v>9.85</v>
      </c>
      <c r="BF17" s="149">
        <v>13.25</v>
      </c>
      <c r="BG17" s="149">
        <v>10.15</v>
      </c>
      <c r="BH17" s="149">
        <v>13.6</v>
      </c>
      <c r="BI17" s="81"/>
      <c r="BJ17" s="199">
        <f t="shared" si="23"/>
        <v>11.7125</v>
      </c>
      <c r="BK17" s="149">
        <v>13.95</v>
      </c>
      <c r="BL17" s="149">
        <v>10.3</v>
      </c>
      <c r="BM17" s="149">
        <v>9.99</v>
      </c>
      <c r="BN17" s="149">
        <v>13.05</v>
      </c>
      <c r="BO17" s="149"/>
      <c r="BP17" s="199">
        <f>AVERAGE(BK17:BN17)</f>
        <v>11.822500000000002</v>
      </c>
      <c r="BQ17" s="160">
        <v>11</v>
      </c>
      <c r="BR17" s="200">
        <f>IF(ISERR(BP17),0,IF(BP17&lt;BQ17,BP17-BQ17,0))</f>
        <v>0</v>
      </c>
    </row>
    <row r="18" spans="1:70">
      <c r="A18" s="218" t="s">
        <v>100</v>
      </c>
      <c r="B18" s="218" t="s">
        <v>179</v>
      </c>
      <c r="C18" s="219" t="s">
        <v>670</v>
      </c>
      <c r="D18" s="219">
        <v>4</v>
      </c>
      <c r="E18" s="229">
        <v>0.57986111111111105</v>
      </c>
      <c r="F18" s="220">
        <v>0.60586805555555556</v>
      </c>
      <c r="G18" s="220">
        <v>0.72070601851851857</v>
      </c>
      <c r="H18" s="208">
        <f>F18-E18</f>
        <v>2.6006944444444513E-2</v>
      </c>
      <c r="I18" s="208">
        <f t="shared" si="11"/>
        <v>1.4085648148148833E-2</v>
      </c>
      <c r="J18" s="208">
        <f>G18-E18</f>
        <v>0.14084490740740752</v>
      </c>
      <c r="K18" s="220">
        <v>0.125</v>
      </c>
      <c r="L18" s="220">
        <v>0.32118055555555552</v>
      </c>
      <c r="M18" s="220">
        <v>0.3560532407407408</v>
      </c>
      <c r="N18" s="220">
        <v>0.52204861111111112</v>
      </c>
      <c r="O18" s="208">
        <f>M18-L18</f>
        <v>3.487268518518527E-2</v>
      </c>
      <c r="P18" s="208">
        <f t="shared" si="12"/>
        <v>1.5115740740740846E-2</v>
      </c>
      <c r="Q18" s="208">
        <f>N18-L18</f>
        <v>0.20086805555555559</v>
      </c>
      <c r="R18" s="220">
        <v>0.1875</v>
      </c>
      <c r="S18" s="221">
        <v>1</v>
      </c>
      <c r="T18" s="221">
        <v>1</v>
      </c>
      <c r="U18" s="221">
        <v>1</v>
      </c>
      <c r="V18" s="221">
        <v>2</v>
      </c>
      <c r="W18" s="238">
        <f t="shared" si="13"/>
        <v>4.9000000000000004</v>
      </c>
      <c r="X18" s="238">
        <f t="shared" si="14"/>
        <v>4.0999999999999996</v>
      </c>
      <c r="Y18" s="238">
        <f>ROUND(MAX(MIN(Y$2+(K18-J18)*60*24*0.2,$Y$2),0),1)</f>
        <v>0.4</v>
      </c>
      <c r="Z18" s="238">
        <f>ROUND(MAX(MIN($Z$2+(R18-Q18)*60*24*0.2,$Z$2),0),1)</f>
        <v>1.1000000000000001</v>
      </c>
      <c r="AA18" s="221">
        <v>8.8000000000000007</v>
      </c>
      <c r="AB18" s="221">
        <v>8</v>
      </c>
      <c r="AC18" s="221">
        <v>3.4</v>
      </c>
      <c r="AD18" s="221">
        <v>3.3</v>
      </c>
      <c r="AE18" s="221">
        <v>1.8</v>
      </c>
      <c r="AF18" s="238">
        <f t="shared" si="7"/>
        <v>2</v>
      </c>
      <c r="AG18" s="221">
        <v>3.4</v>
      </c>
      <c r="AH18" s="221">
        <v>0.8</v>
      </c>
      <c r="AI18" s="221">
        <v>5.7</v>
      </c>
      <c r="AJ18" s="238">
        <f t="shared" si="8"/>
        <v>3</v>
      </c>
      <c r="AK18" s="221">
        <v>3</v>
      </c>
      <c r="AL18" s="221">
        <v>5</v>
      </c>
      <c r="AM18" s="238">
        <f t="shared" si="0"/>
        <v>58.699999999999996</v>
      </c>
      <c r="AN18" s="243">
        <f t="shared" si="21"/>
        <v>14</v>
      </c>
      <c r="AO18" s="218"/>
      <c r="AP18" s="243">
        <f t="shared" si="22"/>
        <v>16</v>
      </c>
      <c r="AQ18" s="149">
        <v>12.85</v>
      </c>
      <c r="AR18" s="149">
        <v>12.9</v>
      </c>
      <c r="AS18" s="149">
        <v>11.55</v>
      </c>
      <c r="AT18" s="149">
        <v>13.2</v>
      </c>
      <c r="AU18" s="149"/>
      <c r="AV18" s="197">
        <f>AVERAGE(AQ18:AU18)</f>
        <v>12.625</v>
      </c>
      <c r="AW18" s="149">
        <v>12.7</v>
      </c>
      <c r="AX18" s="149">
        <v>12.9</v>
      </c>
      <c r="AY18" s="149">
        <v>12.65</v>
      </c>
      <c r="AZ18" s="149">
        <v>11.5</v>
      </c>
      <c r="BA18" s="81"/>
      <c r="BB18" s="199">
        <f t="shared" si="18"/>
        <v>12.4375</v>
      </c>
      <c r="BC18" s="200">
        <v>12</v>
      </c>
      <c r="BD18" s="200">
        <f t="shared" si="19"/>
        <v>0</v>
      </c>
      <c r="BE18" s="149">
        <v>11.45</v>
      </c>
      <c r="BF18" s="149">
        <v>12</v>
      </c>
      <c r="BG18" s="149">
        <v>10.7</v>
      </c>
      <c r="BH18" s="149">
        <v>11.4</v>
      </c>
      <c r="BI18" s="81"/>
      <c r="BJ18" s="199">
        <f t="shared" si="23"/>
        <v>11.387499999999999</v>
      </c>
      <c r="BK18" s="149">
        <v>10.25</v>
      </c>
      <c r="BL18" s="149">
        <v>11.35</v>
      </c>
      <c r="BM18" s="149">
        <v>11.2</v>
      </c>
      <c r="BN18" s="149">
        <v>11.05</v>
      </c>
      <c r="BO18" s="149"/>
      <c r="BP18" s="199">
        <f>AVERAGE(BK18:BN18)</f>
        <v>10.962499999999999</v>
      </c>
      <c r="BQ18" s="160">
        <v>11</v>
      </c>
      <c r="BR18" s="200">
        <f>IF(ISERR(BP18),0,IF(BP18&lt;BQ18,BP18-BQ18,0))</f>
        <v>-3.7500000000001421E-2</v>
      </c>
    </row>
    <row r="19" spans="1:70">
      <c r="A19" s="218" t="s">
        <v>100</v>
      </c>
      <c r="B19" s="218" t="s">
        <v>712</v>
      </c>
      <c r="C19" s="219" t="s">
        <v>671</v>
      </c>
      <c r="D19" s="219">
        <v>5</v>
      </c>
      <c r="E19" s="220">
        <v>0.58020833333333399</v>
      </c>
      <c r="F19" s="220">
        <v>0.60868055555555556</v>
      </c>
      <c r="G19" s="220">
        <v>0.69820601851851849</v>
      </c>
      <c r="H19" s="208">
        <f>F19-E19</f>
        <v>2.8472222222221566E-2</v>
      </c>
      <c r="I19" s="208">
        <f t="shared" si="11"/>
        <v>1.6550925925925886E-2</v>
      </c>
      <c r="J19" s="208">
        <f>G19-E19</f>
        <v>0.1179976851851845</v>
      </c>
      <c r="K19" s="220">
        <v>0.125</v>
      </c>
      <c r="L19" s="220">
        <v>0.32187499999999997</v>
      </c>
      <c r="M19" s="220">
        <v>0.36881944444444442</v>
      </c>
      <c r="N19" s="220">
        <v>0.50289351851851849</v>
      </c>
      <c r="O19" s="208">
        <f>M19-L19</f>
        <v>4.6944444444444455E-2</v>
      </c>
      <c r="P19" s="208">
        <f t="shared" si="12"/>
        <v>2.7187500000000031E-2</v>
      </c>
      <c r="Q19" s="208">
        <f>N19-L19</f>
        <v>0.18101851851851852</v>
      </c>
      <c r="R19" s="220">
        <v>0.1875</v>
      </c>
      <c r="S19" s="221">
        <v>0</v>
      </c>
      <c r="T19" s="221">
        <v>1</v>
      </c>
      <c r="U19" s="221">
        <v>0.5</v>
      </c>
      <c r="V19" s="221">
        <v>0.5</v>
      </c>
      <c r="W19" s="238">
        <f t="shared" si="13"/>
        <v>3.1</v>
      </c>
      <c r="X19" s="238">
        <f t="shared" si="14"/>
        <v>0</v>
      </c>
      <c r="Y19" s="238">
        <f>ROUND(MAX(MIN(Y$2+(K19-J19)*60*24*0.2,$Y$2),0),1)</f>
        <v>5</v>
      </c>
      <c r="Z19" s="238">
        <f>ROUND(MAX(MIN($Z$2+(R19-Q19)*60*24*0.2,$Z$2),0),1)</f>
        <v>5</v>
      </c>
      <c r="AA19" s="221">
        <v>6.4</v>
      </c>
      <c r="AB19" s="221">
        <v>4</v>
      </c>
      <c r="AC19" s="221">
        <v>4</v>
      </c>
      <c r="AD19" s="221">
        <v>1.7</v>
      </c>
      <c r="AE19" s="221">
        <v>2</v>
      </c>
      <c r="AF19" s="238">
        <f t="shared" si="7"/>
        <v>1</v>
      </c>
      <c r="AG19" s="221">
        <v>1.6</v>
      </c>
      <c r="AH19" s="221">
        <v>1.4</v>
      </c>
      <c r="AI19" s="221">
        <v>5.0999999999999996</v>
      </c>
      <c r="AJ19" s="238">
        <f t="shared" si="8"/>
        <v>1</v>
      </c>
      <c r="AK19" s="221">
        <v>3</v>
      </c>
      <c r="AL19" s="221">
        <v>5</v>
      </c>
      <c r="AM19" s="238">
        <f t="shared" si="0"/>
        <v>49.300000000000004</v>
      </c>
      <c r="AN19" s="243">
        <f t="shared" si="21"/>
        <v>17</v>
      </c>
      <c r="AO19" s="218"/>
      <c r="AP19" s="243">
        <f t="shared" si="22"/>
        <v>18</v>
      </c>
      <c r="AQ19" s="149">
        <v>16.2</v>
      </c>
      <c r="AR19" s="149">
        <v>14</v>
      </c>
      <c r="AS19" s="149">
        <v>14.15</v>
      </c>
      <c r="AT19" s="149">
        <v>14.65</v>
      </c>
      <c r="AU19" s="149">
        <v>15.5</v>
      </c>
      <c r="AV19" s="197">
        <f>AVERAGE(AQ19:AU19)</f>
        <v>14.9</v>
      </c>
      <c r="AW19" s="149">
        <v>15.55</v>
      </c>
      <c r="AX19" s="149">
        <v>13.45</v>
      </c>
      <c r="AY19" s="149">
        <v>14.95</v>
      </c>
      <c r="AZ19" s="149">
        <v>14</v>
      </c>
      <c r="BA19" s="149">
        <v>13.5</v>
      </c>
      <c r="BB19" s="199">
        <f t="shared" si="18"/>
        <v>14.487500000000001</v>
      </c>
      <c r="BC19" s="200">
        <v>12</v>
      </c>
      <c r="BD19" s="200">
        <f t="shared" si="19"/>
        <v>0</v>
      </c>
      <c r="BE19" s="149">
        <v>12.6</v>
      </c>
      <c r="BF19" s="149">
        <v>11.9</v>
      </c>
      <c r="BG19" s="149">
        <v>13.35</v>
      </c>
      <c r="BH19" s="149">
        <v>14.25</v>
      </c>
      <c r="BI19" s="149">
        <v>12.8</v>
      </c>
      <c r="BJ19" s="199">
        <f>AVERAGE(BE19:BI19)</f>
        <v>12.98</v>
      </c>
      <c r="BK19" s="149">
        <v>12.5</v>
      </c>
      <c r="BL19" s="149">
        <v>11.1</v>
      </c>
      <c r="BM19" s="149">
        <v>12.65</v>
      </c>
      <c r="BN19" s="149">
        <v>12.15</v>
      </c>
      <c r="BO19" s="149">
        <v>12.25</v>
      </c>
      <c r="BP19" s="199">
        <f>AVERAGE(BK19:BO19)</f>
        <v>12.129999999999999</v>
      </c>
      <c r="BQ19" s="160">
        <v>11</v>
      </c>
      <c r="BR19" s="200">
        <f>IF(ISERR(BP19),0,IF(BP19&lt;BQ19,BP19-BQ19,0))</f>
        <v>0</v>
      </c>
    </row>
    <row r="20" spans="1:70">
      <c r="A20" s="218" t="s">
        <v>100</v>
      </c>
      <c r="B20" s="218" t="s">
        <v>710</v>
      </c>
      <c r="C20" s="219" t="s">
        <v>672</v>
      </c>
      <c r="D20" s="219">
        <v>4</v>
      </c>
      <c r="E20" s="229">
        <v>0.58055555555555605</v>
      </c>
      <c r="F20" s="220">
        <v>0.59576388888888887</v>
      </c>
      <c r="G20" s="220">
        <v>0.68196759259259254</v>
      </c>
      <c r="H20" s="208">
        <f>F20-E20</f>
        <v>1.5208333333332824E-2</v>
      </c>
      <c r="I20" s="208">
        <f t="shared" si="11"/>
        <v>3.2870370370371438E-3</v>
      </c>
      <c r="J20" s="208">
        <f>G20-E20</f>
        <v>0.1014120370370365</v>
      </c>
      <c r="K20" s="220">
        <v>0.125</v>
      </c>
      <c r="L20" s="220">
        <v>0.31736111111111115</v>
      </c>
      <c r="M20" s="220">
        <v>0.34175925925925926</v>
      </c>
      <c r="N20" s="220">
        <v>0.47321759259259261</v>
      </c>
      <c r="O20" s="208">
        <f>M20-L20</f>
        <v>2.4398148148148113E-2</v>
      </c>
      <c r="P20" s="208">
        <f t="shared" si="12"/>
        <v>4.6412037037036891E-3</v>
      </c>
      <c r="Q20" s="208">
        <f>N20-L20</f>
        <v>0.15585648148148146</v>
      </c>
      <c r="R20" s="220">
        <v>0.1875</v>
      </c>
      <c r="S20" s="221">
        <v>2.5</v>
      </c>
      <c r="T20" s="221">
        <v>4</v>
      </c>
      <c r="U20" s="221">
        <v>1.5</v>
      </c>
      <c r="V20" s="221">
        <v>2.5</v>
      </c>
      <c r="W20" s="238">
        <f t="shared" si="13"/>
        <v>12.6</v>
      </c>
      <c r="X20" s="238">
        <f t="shared" si="14"/>
        <v>11.7</v>
      </c>
      <c r="Y20" s="238">
        <f>ROUND(MAX(MIN(Y$2+(K20-J20)*60*24*0.2,$Y$2),0),1)</f>
        <v>5</v>
      </c>
      <c r="Z20" s="238">
        <f>ROUND(MAX(MIN($Z$2+(R20-Q20)*60*24*0.2,$Z$2),0),1)</f>
        <v>5</v>
      </c>
      <c r="AA20" s="221">
        <v>9.8000000000000007</v>
      </c>
      <c r="AB20" s="221">
        <v>8</v>
      </c>
      <c r="AC20" s="221">
        <v>4</v>
      </c>
      <c r="AD20" s="221">
        <v>4.0999999999999996</v>
      </c>
      <c r="AE20" s="221">
        <v>1.4</v>
      </c>
      <c r="AF20" s="238">
        <f t="shared" si="7"/>
        <v>6.5</v>
      </c>
      <c r="AG20" s="221">
        <v>3</v>
      </c>
      <c r="AH20" s="221">
        <v>1.6</v>
      </c>
      <c r="AI20" s="221">
        <v>5.6</v>
      </c>
      <c r="AJ20" s="238">
        <f t="shared" si="8"/>
        <v>4</v>
      </c>
      <c r="AK20" s="221">
        <v>2.5</v>
      </c>
      <c r="AL20" s="221">
        <v>4.8</v>
      </c>
      <c r="AM20" s="238">
        <f t="shared" si="0"/>
        <v>89.59999999999998</v>
      </c>
      <c r="AN20" s="243">
        <f t="shared" si="21"/>
        <v>5</v>
      </c>
      <c r="AO20" s="218"/>
      <c r="AP20" s="243">
        <f t="shared" si="22"/>
        <v>5</v>
      </c>
      <c r="AQ20" s="149">
        <v>13.1</v>
      </c>
      <c r="AR20" s="149">
        <v>14.15</v>
      </c>
      <c r="AS20" s="149">
        <v>12.2</v>
      </c>
      <c r="AT20" s="149">
        <v>13.45</v>
      </c>
      <c r="AU20" s="149"/>
      <c r="AV20" s="197">
        <f>AVERAGE(AQ20:AU20)</f>
        <v>13.225000000000001</v>
      </c>
      <c r="AW20" s="149">
        <v>14.15</v>
      </c>
      <c r="AX20" s="149">
        <v>13.05</v>
      </c>
      <c r="AY20" s="149">
        <v>12.2</v>
      </c>
      <c r="AZ20" s="149">
        <v>13.4</v>
      </c>
      <c r="BA20" s="81"/>
      <c r="BB20" s="199">
        <f t="shared" si="18"/>
        <v>13.200000000000001</v>
      </c>
      <c r="BC20" s="200">
        <v>12</v>
      </c>
      <c r="BD20" s="200">
        <f t="shared" si="19"/>
        <v>0</v>
      </c>
      <c r="BE20" s="149">
        <v>12.9</v>
      </c>
      <c r="BF20" s="149">
        <v>13.15</v>
      </c>
      <c r="BG20" s="149">
        <v>11.75</v>
      </c>
      <c r="BH20" s="149">
        <v>13.4</v>
      </c>
      <c r="BI20" s="81"/>
      <c r="BJ20" s="199">
        <f t="shared" si="23"/>
        <v>12.799999999999999</v>
      </c>
      <c r="BK20" s="149">
        <v>13.8</v>
      </c>
      <c r="BL20" s="149">
        <v>13.2</v>
      </c>
      <c r="BM20" s="149">
        <v>10.4</v>
      </c>
      <c r="BN20" s="149">
        <v>13.05</v>
      </c>
      <c r="BO20" s="149"/>
      <c r="BP20" s="199">
        <f>AVERAGE(BK20:BN20)</f>
        <v>12.612500000000001</v>
      </c>
      <c r="BQ20" s="160">
        <v>11</v>
      </c>
      <c r="BR20" s="200">
        <f>IF(ISERR(BP20),0,IF(BP20&lt;BQ20,BP20-BQ20,0))</f>
        <v>0</v>
      </c>
    </row>
    <row r="21" spans="1:70">
      <c r="A21" s="218" t="s">
        <v>100</v>
      </c>
      <c r="B21" s="218" t="s">
        <v>713</v>
      </c>
      <c r="C21" s="219" t="s">
        <v>673</v>
      </c>
      <c r="D21" s="219">
        <v>4</v>
      </c>
      <c r="E21" s="220">
        <v>0.58090277777777799</v>
      </c>
      <c r="F21" s="220">
        <v>0.60143518518518524</v>
      </c>
      <c r="G21" s="220">
        <v>0.71076388888888886</v>
      </c>
      <c r="H21" s="208">
        <f t="shared" si="1"/>
        <v>2.0532407407407249E-2</v>
      </c>
      <c r="I21" s="208">
        <f t="shared" si="11"/>
        <v>8.611111111111569E-3</v>
      </c>
      <c r="J21" s="208">
        <f t="shared" si="2"/>
        <v>0.12986111111111087</v>
      </c>
      <c r="K21" s="220">
        <v>0.125</v>
      </c>
      <c r="L21" s="220">
        <v>0.32013888888888892</v>
      </c>
      <c r="M21" s="220">
        <v>0.35005787037037034</v>
      </c>
      <c r="N21" s="220">
        <v>0.51063657407407403</v>
      </c>
      <c r="O21" s="208">
        <f t="shared" si="3"/>
        <v>2.9918981481481421E-2</v>
      </c>
      <c r="P21" s="208">
        <f t="shared" si="12"/>
        <v>1.0162037037036997E-2</v>
      </c>
      <c r="Q21" s="208">
        <f t="shared" si="4"/>
        <v>0.19049768518518512</v>
      </c>
      <c r="R21" s="220">
        <v>0.1875</v>
      </c>
      <c r="S21" s="221">
        <v>3</v>
      </c>
      <c r="T21" s="221">
        <v>2</v>
      </c>
      <c r="U21" s="221">
        <v>0.5</v>
      </c>
      <c r="V21" s="221">
        <v>1.5</v>
      </c>
      <c r="W21" s="238">
        <f t="shared" si="13"/>
        <v>8.8000000000000007</v>
      </c>
      <c r="X21" s="238">
        <f t="shared" si="14"/>
        <v>7.7</v>
      </c>
      <c r="Y21" s="238">
        <f t="shared" si="5"/>
        <v>3.6</v>
      </c>
      <c r="Z21" s="238">
        <f t="shared" si="6"/>
        <v>4.0999999999999996</v>
      </c>
      <c r="AA21" s="221">
        <v>7.8</v>
      </c>
      <c r="AB21" s="221">
        <v>3.7</v>
      </c>
      <c r="AC21" s="221">
        <v>3</v>
      </c>
      <c r="AD21" s="221">
        <v>1.9</v>
      </c>
      <c r="AE21" s="221">
        <v>1.8</v>
      </c>
      <c r="AF21" s="238">
        <f t="shared" si="7"/>
        <v>5</v>
      </c>
      <c r="AG21" s="221">
        <v>3.2</v>
      </c>
      <c r="AH21" s="221">
        <v>0.4</v>
      </c>
      <c r="AI21" s="221">
        <v>4.8</v>
      </c>
      <c r="AJ21" s="238">
        <f t="shared" si="8"/>
        <v>2</v>
      </c>
      <c r="AK21" s="221">
        <v>2.2999999999999998</v>
      </c>
      <c r="AL21" s="221">
        <v>4.5</v>
      </c>
      <c r="AM21" s="238">
        <f t="shared" si="0"/>
        <v>64.599999999999994</v>
      </c>
      <c r="AN21" s="243">
        <f t="shared" si="21"/>
        <v>13</v>
      </c>
      <c r="AO21" s="218"/>
      <c r="AP21" s="243">
        <f t="shared" si="22"/>
        <v>13</v>
      </c>
      <c r="AQ21" s="149">
        <v>17.100000000000001</v>
      </c>
      <c r="AR21" s="149">
        <v>15.5</v>
      </c>
      <c r="AS21" s="149">
        <v>14.85</v>
      </c>
      <c r="AT21" s="149">
        <v>13.9</v>
      </c>
      <c r="AU21" s="149"/>
      <c r="AV21" s="197">
        <f t="shared" si="17"/>
        <v>15.3375</v>
      </c>
      <c r="AW21" s="149">
        <v>16.75</v>
      </c>
      <c r="AX21" s="149">
        <v>14.85</v>
      </c>
      <c r="AY21" s="149">
        <v>14.05</v>
      </c>
      <c r="AZ21" s="149">
        <v>13.3</v>
      </c>
      <c r="BA21" s="81"/>
      <c r="BB21" s="199">
        <f t="shared" si="18"/>
        <v>14.737500000000001</v>
      </c>
      <c r="BC21" s="200">
        <v>12</v>
      </c>
      <c r="BD21" s="200">
        <f t="shared" si="19"/>
        <v>0</v>
      </c>
      <c r="BE21" s="149">
        <v>17.2</v>
      </c>
      <c r="BF21" s="149">
        <v>12.45</v>
      </c>
      <c r="BG21" s="149">
        <v>14.15</v>
      </c>
      <c r="BH21" s="149">
        <v>13</v>
      </c>
      <c r="BI21" s="81"/>
      <c r="BJ21" s="199">
        <f t="shared" si="23"/>
        <v>14.2</v>
      </c>
      <c r="BK21" s="149">
        <v>17.399999999999999</v>
      </c>
      <c r="BL21" s="149">
        <v>12.65</v>
      </c>
      <c r="BM21" s="149">
        <v>14</v>
      </c>
      <c r="BN21" s="149">
        <v>13.05</v>
      </c>
      <c r="BO21" s="149"/>
      <c r="BP21" s="199">
        <f t="shared" si="10"/>
        <v>14.274999999999999</v>
      </c>
      <c r="BQ21" s="160">
        <v>11</v>
      </c>
      <c r="BR21" s="200">
        <f t="shared" si="20"/>
        <v>0</v>
      </c>
    </row>
    <row r="22" spans="1:70">
      <c r="A22" s="218" t="s">
        <v>100</v>
      </c>
      <c r="B22" s="218" t="s">
        <v>714</v>
      </c>
      <c r="C22" s="219" t="s">
        <v>674</v>
      </c>
      <c r="D22" s="219">
        <v>5</v>
      </c>
      <c r="E22" s="229">
        <v>0.58125000000000004</v>
      </c>
      <c r="F22" s="220">
        <v>0.60247685185185185</v>
      </c>
      <c r="G22" s="220">
        <v>0.7052314814814814</v>
      </c>
      <c r="H22" s="208">
        <f t="shared" si="1"/>
        <v>2.1226851851851802E-2</v>
      </c>
      <c r="I22" s="208">
        <f t="shared" si="11"/>
        <v>9.305555555556122E-3</v>
      </c>
      <c r="J22" s="208">
        <f t="shared" si="2"/>
        <v>0.12398148148148136</v>
      </c>
      <c r="K22" s="220">
        <v>0.125</v>
      </c>
      <c r="L22" s="220">
        <v>0.32048611111111108</v>
      </c>
      <c r="M22" s="220">
        <v>0.3538310185185185</v>
      </c>
      <c r="N22" s="220">
        <v>0.4941550925925926</v>
      </c>
      <c r="O22" s="208">
        <f t="shared" si="3"/>
        <v>3.334490740740742E-2</v>
      </c>
      <c r="P22" s="208">
        <f t="shared" si="12"/>
        <v>1.3587962962962996E-2</v>
      </c>
      <c r="Q22" s="208">
        <f t="shared" si="4"/>
        <v>0.17366898148148152</v>
      </c>
      <c r="R22" s="220">
        <v>0.1875</v>
      </c>
      <c r="S22" s="221">
        <v>0</v>
      </c>
      <c r="T22" s="221">
        <v>1</v>
      </c>
      <c r="U22" s="221">
        <v>0.2</v>
      </c>
      <c r="V22" s="221">
        <v>0.5</v>
      </c>
      <c r="W22" s="238">
        <f t="shared" si="13"/>
        <v>8.3000000000000007</v>
      </c>
      <c r="X22" s="238">
        <f t="shared" si="14"/>
        <v>5.2</v>
      </c>
      <c r="Y22" s="238">
        <f t="shared" si="5"/>
        <v>5</v>
      </c>
      <c r="Z22" s="238">
        <f t="shared" si="6"/>
        <v>5</v>
      </c>
      <c r="AA22" s="221">
        <v>5</v>
      </c>
      <c r="AB22" s="221">
        <v>4.8</v>
      </c>
      <c r="AC22" s="221">
        <v>3.4</v>
      </c>
      <c r="AD22" s="221">
        <v>3.8</v>
      </c>
      <c r="AE22" s="221">
        <v>2</v>
      </c>
      <c r="AF22" s="238">
        <f t="shared" si="7"/>
        <v>1</v>
      </c>
      <c r="AG22" s="221">
        <v>2.2000000000000002</v>
      </c>
      <c r="AH22" s="221">
        <v>1</v>
      </c>
      <c r="AI22" s="221">
        <v>4.2</v>
      </c>
      <c r="AJ22" s="238">
        <f t="shared" si="8"/>
        <v>0.7</v>
      </c>
      <c r="AK22" s="221">
        <v>3</v>
      </c>
      <c r="AL22" s="221">
        <v>4</v>
      </c>
      <c r="AM22" s="238">
        <f t="shared" si="0"/>
        <v>58.6</v>
      </c>
      <c r="AN22" s="243">
        <f t="shared" si="21"/>
        <v>15</v>
      </c>
      <c r="AO22" s="218"/>
      <c r="AP22" s="243">
        <f t="shared" si="22"/>
        <v>14</v>
      </c>
      <c r="AQ22" s="149">
        <v>11.15</v>
      </c>
      <c r="AR22" s="149">
        <v>12.75</v>
      </c>
      <c r="AS22" s="149">
        <v>13.6</v>
      </c>
      <c r="AT22" s="149">
        <v>13.45</v>
      </c>
      <c r="AU22" s="149">
        <v>19.45</v>
      </c>
      <c r="AV22" s="197">
        <f t="shared" si="17"/>
        <v>14.080000000000002</v>
      </c>
      <c r="AW22" s="149">
        <v>13.05</v>
      </c>
      <c r="AX22" s="149">
        <v>17.7</v>
      </c>
      <c r="AY22" s="149">
        <v>13.5</v>
      </c>
      <c r="AZ22" s="149">
        <v>12.5</v>
      </c>
      <c r="BA22" s="149">
        <v>11.25</v>
      </c>
      <c r="BB22" s="199">
        <f t="shared" si="18"/>
        <v>14.1875</v>
      </c>
      <c r="BC22" s="200">
        <v>12</v>
      </c>
      <c r="BD22" s="200">
        <f t="shared" si="19"/>
        <v>0</v>
      </c>
      <c r="BE22" s="149">
        <v>14</v>
      </c>
      <c r="BF22" s="149">
        <v>14.45</v>
      </c>
      <c r="BG22" s="149">
        <v>15.75</v>
      </c>
      <c r="BH22" s="149">
        <v>11.9</v>
      </c>
      <c r="BI22" s="149">
        <v>13.6</v>
      </c>
      <c r="BJ22" s="199">
        <f>AVERAGE(BE22:BI22)</f>
        <v>13.940000000000001</v>
      </c>
      <c r="BK22" s="149">
        <v>13.35</v>
      </c>
      <c r="BL22" s="149">
        <v>12.1</v>
      </c>
      <c r="BM22" s="149">
        <v>13</v>
      </c>
      <c r="BN22" s="149">
        <v>14.25</v>
      </c>
      <c r="BO22" s="149">
        <v>15.1</v>
      </c>
      <c r="BP22" s="199">
        <f>AVERAGE(BK22:BO22)</f>
        <v>13.559999999999999</v>
      </c>
      <c r="BQ22" s="160">
        <v>11</v>
      </c>
      <c r="BR22" s="200">
        <f t="shared" si="20"/>
        <v>0</v>
      </c>
    </row>
    <row r="23" spans="1:70">
      <c r="A23" s="218" t="s">
        <v>100</v>
      </c>
      <c r="B23" s="218" t="s">
        <v>708</v>
      </c>
      <c r="C23" s="219" t="s">
        <v>675</v>
      </c>
      <c r="D23" s="219">
        <v>5</v>
      </c>
      <c r="E23" s="220">
        <v>0.58159722222222299</v>
      </c>
      <c r="F23" s="220">
        <v>0.59612268518518519</v>
      </c>
      <c r="G23" s="220">
        <v>0.70354166666666673</v>
      </c>
      <c r="H23" s="208">
        <f t="shared" si="1"/>
        <v>1.4525462962962199E-2</v>
      </c>
      <c r="I23" s="208">
        <f t="shared" si="11"/>
        <v>2.6041666666665186E-3</v>
      </c>
      <c r="J23" s="208">
        <f t="shared" si="2"/>
        <v>0.12194444444444374</v>
      </c>
      <c r="K23" s="220">
        <v>0.125</v>
      </c>
      <c r="L23" s="220">
        <v>0.31666666666666665</v>
      </c>
      <c r="M23" s="220">
        <v>0.34008101851851852</v>
      </c>
      <c r="N23" s="220">
        <v>0.49895833333333334</v>
      </c>
      <c r="O23" s="208">
        <f t="shared" si="3"/>
        <v>2.3414351851851867E-2</v>
      </c>
      <c r="P23" s="208">
        <f t="shared" si="12"/>
        <v>3.6574074074074425E-3</v>
      </c>
      <c r="Q23" s="208">
        <f t="shared" si="4"/>
        <v>0.18229166666666669</v>
      </c>
      <c r="R23" s="220">
        <v>0.1875</v>
      </c>
      <c r="S23" s="221">
        <v>3</v>
      </c>
      <c r="T23" s="221">
        <v>2</v>
      </c>
      <c r="U23" s="221">
        <v>1.5</v>
      </c>
      <c r="V23" s="221">
        <v>2.5</v>
      </c>
      <c r="W23" s="238">
        <f t="shared" si="13"/>
        <v>13.1</v>
      </c>
      <c r="X23" s="238">
        <f t="shared" si="14"/>
        <v>12.4</v>
      </c>
      <c r="Y23" s="238">
        <f t="shared" si="5"/>
        <v>5</v>
      </c>
      <c r="Z23" s="238">
        <f t="shared" si="6"/>
        <v>5</v>
      </c>
      <c r="AA23" s="221">
        <v>10</v>
      </c>
      <c r="AB23" s="221">
        <v>8</v>
      </c>
      <c r="AC23" s="221">
        <v>4</v>
      </c>
      <c r="AD23" s="221">
        <v>4.8</v>
      </c>
      <c r="AE23" s="221">
        <v>2</v>
      </c>
      <c r="AF23" s="238">
        <f t="shared" si="7"/>
        <v>5</v>
      </c>
      <c r="AG23" s="221">
        <v>3.8</v>
      </c>
      <c r="AH23" s="221">
        <v>2</v>
      </c>
      <c r="AI23" s="221">
        <v>6</v>
      </c>
      <c r="AJ23" s="238">
        <f t="shared" si="8"/>
        <v>4</v>
      </c>
      <c r="AK23" s="221">
        <v>3</v>
      </c>
      <c r="AL23" s="221">
        <v>5</v>
      </c>
      <c r="AM23" s="238">
        <f t="shared" si="0"/>
        <v>93.1</v>
      </c>
      <c r="AN23" s="243">
        <f t="shared" si="21"/>
        <v>3</v>
      </c>
      <c r="AO23" s="218"/>
      <c r="AP23" s="243">
        <f t="shared" si="22"/>
        <v>3</v>
      </c>
      <c r="AQ23" s="149">
        <v>14.2</v>
      </c>
      <c r="AR23" s="149">
        <v>13.15</v>
      </c>
      <c r="AS23" s="149">
        <v>11.55</v>
      </c>
      <c r="AT23" s="149">
        <v>10.4</v>
      </c>
      <c r="AU23" s="149">
        <v>12.3</v>
      </c>
      <c r="AV23" s="197">
        <f t="shared" si="17"/>
        <v>12.320000000000002</v>
      </c>
      <c r="AW23" s="149">
        <v>14.15</v>
      </c>
      <c r="AX23" s="149">
        <v>13.1</v>
      </c>
      <c r="AY23" s="149">
        <v>11.55</v>
      </c>
      <c r="AZ23" s="149">
        <v>10.4</v>
      </c>
      <c r="BA23" s="149">
        <v>12.2</v>
      </c>
      <c r="BB23" s="199">
        <f t="shared" si="18"/>
        <v>12.299999999999999</v>
      </c>
      <c r="BC23" s="200">
        <v>12</v>
      </c>
      <c r="BD23" s="200">
        <f t="shared" si="19"/>
        <v>0</v>
      </c>
      <c r="BE23" s="149">
        <v>13</v>
      </c>
      <c r="BF23" s="149">
        <v>12.9</v>
      </c>
      <c r="BG23" s="149">
        <v>11.05</v>
      </c>
      <c r="BH23" s="149">
        <v>10.5</v>
      </c>
      <c r="BI23" s="149">
        <v>10.55</v>
      </c>
      <c r="BJ23" s="199">
        <f>AVERAGE(BE23:BI23)</f>
        <v>11.6</v>
      </c>
      <c r="BK23" s="149">
        <v>9.1999999999999993</v>
      </c>
      <c r="BL23" s="149">
        <v>10.9</v>
      </c>
      <c r="BM23" s="149">
        <v>13.1</v>
      </c>
      <c r="BN23" s="149">
        <v>10.6</v>
      </c>
      <c r="BO23" s="149">
        <v>12.6</v>
      </c>
      <c r="BP23" s="199">
        <f>AVERAGE(BK23:BO23)</f>
        <v>11.280000000000001</v>
      </c>
      <c r="BQ23" s="160">
        <v>11</v>
      </c>
      <c r="BR23" s="200">
        <f t="shared" si="20"/>
        <v>0</v>
      </c>
    </row>
    <row r="24" spans="1:70">
      <c r="A24" s="218" t="s">
        <v>100</v>
      </c>
      <c r="B24" s="218" t="s">
        <v>715</v>
      </c>
      <c r="C24" s="219" t="s">
        <v>676</v>
      </c>
      <c r="D24" s="219">
        <v>5</v>
      </c>
      <c r="E24" s="229">
        <v>0.58194444444444504</v>
      </c>
      <c r="F24" s="220">
        <v>0.59825231481481478</v>
      </c>
      <c r="G24" s="220">
        <v>0.69311342592592595</v>
      </c>
      <c r="H24" s="208">
        <f t="shared" si="1"/>
        <v>1.6307870370369737E-2</v>
      </c>
      <c r="I24" s="208">
        <f t="shared" si="11"/>
        <v>4.3865740740740566E-3</v>
      </c>
      <c r="J24" s="208">
        <f t="shared" si="2"/>
        <v>0.11116898148148091</v>
      </c>
      <c r="K24" s="220">
        <v>0.125</v>
      </c>
      <c r="L24" s="220">
        <v>0.31805555555555554</v>
      </c>
      <c r="M24" s="220">
        <v>0.34560185185185183</v>
      </c>
      <c r="N24" s="220">
        <v>0.46997685185185184</v>
      </c>
      <c r="O24" s="208">
        <f t="shared" si="3"/>
        <v>2.7546296296296291E-2</v>
      </c>
      <c r="P24" s="208">
        <f t="shared" si="12"/>
        <v>7.7893518518518667E-3</v>
      </c>
      <c r="Q24" s="208">
        <f t="shared" si="4"/>
        <v>0.1519212962962963</v>
      </c>
      <c r="R24" s="220">
        <v>0.1875</v>
      </c>
      <c r="S24" s="221">
        <v>1</v>
      </c>
      <c r="T24" s="221">
        <v>3</v>
      </c>
      <c r="U24" s="221">
        <v>1.5</v>
      </c>
      <c r="V24" s="221">
        <v>2.5</v>
      </c>
      <c r="W24" s="238">
        <f t="shared" si="13"/>
        <v>11.8</v>
      </c>
      <c r="X24" s="238">
        <f t="shared" si="14"/>
        <v>9.4</v>
      </c>
      <c r="Y24" s="238">
        <f t="shared" si="5"/>
        <v>5</v>
      </c>
      <c r="Z24" s="238">
        <f t="shared" si="6"/>
        <v>5</v>
      </c>
      <c r="AA24" s="221">
        <v>9.8000000000000007</v>
      </c>
      <c r="AB24" s="221">
        <v>7.7</v>
      </c>
      <c r="AC24" s="221">
        <v>4</v>
      </c>
      <c r="AD24" s="221">
        <v>4</v>
      </c>
      <c r="AE24" s="221">
        <v>2</v>
      </c>
      <c r="AF24" s="238">
        <f t="shared" si="7"/>
        <v>4</v>
      </c>
      <c r="AG24" s="221">
        <v>3.2</v>
      </c>
      <c r="AH24" s="221">
        <v>2</v>
      </c>
      <c r="AI24" s="221">
        <v>5.8</v>
      </c>
      <c r="AJ24" s="238">
        <f t="shared" si="8"/>
        <v>4</v>
      </c>
      <c r="AK24" s="221">
        <v>3</v>
      </c>
      <c r="AL24" s="221">
        <v>4.5</v>
      </c>
      <c r="AM24" s="238">
        <f t="shared" si="0"/>
        <v>85.2</v>
      </c>
      <c r="AN24" s="243">
        <f t="shared" si="21"/>
        <v>6</v>
      </c>
      <c r="AO24" s="218"/>
      <c r="AP24" s="243">
        <f t="shared" si="22"/>
        <v>7</v>
      </c>
      <c r="AQ24" s="149">
        <v>16</v>
      </c>
      <c r="AR24" s="149">
        <v>12.5</v>
      </c>
      <c r="AS24" s="149">
        <v>13.35</v>
      </c>
      <c r="AT24" s="149">
        <v>14.05</v>
      </c>
      <c r="AU24" s="149">
        <v>13.15</v>
      </c>
      <c r="AV24" s="197">
        <f t="shared" si="17"/>
        <v>13.810000000000002</v>
      </c>
      <c r="AW24" s="149">
        <v>13.55</v>
      </c>
      <c r="AX24" s="149">
        <v>12.65</v>
      </c>
      <c r="AY24" s="149">
        <v>14</v>
      </c>
      <c r="AZ24" s="149">
        <v>12.45</v>
      </c>
      <c r="BA24" s="149">
        <v>15.2</v>
      </c>
      <c r="BB24" s="199">
        <f t="shared" si="18"/>
        <v>13.162500000000001</v>
      </c>
      <c r="BC24" s="200">
        <v>12</v>
      </c>
      <c r="BD24" s="200">
        <f t="shared" si="19"/>
        <v>0</v>
      </c>
      <c r="BE24" s="149">
        <v>11.75</v>
      </c>
      <c r="BF24" s="149">
        <v>13.05</v>
      </c>
      <c r="BG24" s="149">
        <v>14.8</v>
      </c>
      <c r="BH24" s="149">
        <v>12.15</v>
      </c>
      <c r="BI24" s="149">
        <v>14.1</v>
      </c>
      <c r="BJ24" s="199">
        <f>AVERAGE(BE24:BI24)</f>
        <v>13.169999999999998</v>
      </c>
      <c r="BK24" s="149">
        <v>14.55</v>
      </c>
      <c r="BL24" s="149">
        <v>10.65</v>
      </c>
      <c r="BM24" s="149">
        <v>10.9</v>
      </c>
      <c r="BN24" s="149">
        <v>13.9</v>
      </c>
      <c r="BO24" s="149">
        <v>12.7</v>
      </c>
      <c r="BP24" s="199">
        <f>AVERAGE(BK24:BO24)</f>
        <v>12.540000000000001</v>
      </c>
      <c r="BQ24" s="160">
        <v>11</v>
      </c>
      <c r="BR24" s="200">
        <f t="shared" si="20"/>
        <v>0</v>
      </c>
    </row>
    <row r="25" spans="1:70">
      <c r="A25" s="218" t="s">
        <v>100</v>
      </c>
      <c r="B25" s="218" t="s">
        <v>687</v>
      </c>
      <c r="C25" s="219" t="s">
        <v>677</v>
      </c>
      <c r="D25" s="219">
        <v>5</v>
      </c>
      <c r="E25" s="220">
        <v>0.58229166666666698</v>
      </c>
      <c r="F25" s="220">
        <v>0.60270833333333329</v>
      </c>
      <c r="G25" s="220">
        <v>0.69467592592592586</v>
      </c>
      <c r="H25" s="208">
        <f t="shared" si="1"/>
        <v>2.0416666666666305E-2</v>
      </c>
      <c r="I25" s="208">
        <f t="shared" si="11"/>
        <v>8.4953703703706251E-3</v>
      </c>
      <c r="J25" s="208">
        <f t="shared" si="2"/>
        <v>0.11238425925925888</v>
      </c>
      <c r="K25" s="220">
        <v>0.125</v>
      </c>
      <c r="L25" s="220">
        <v>0.31979166666666664</v>
      </c>
      <c r="M25" s="220">
        <v>0.35471064814814812</v>
      </c>
      <c r="N25" s="220">
        <v>0.50321759259259258</v>
      </c>
      <c r="O25" s="208">
        <f t="shared" si="3"/>
        <v>3.4918981481481481E-2</v>
      </c>
      <c r="P25" s="208">
        <f t="shared" si="12"/>
        <v>1.5162037037037057E-2</v>
      </c>
      <c r="Q25" s="208">
        <f t="shared" si="4"/>
        <v>0.18342592592592594</v>
      </c>
      <c r="R25" s="220">
        <v>0.1875</v>
      </c>
      <c r="S25" s="221">
        <v>2</v>
      </c>
      <c r="T25" s="221">
        <v>4</v>
      </c>
      <c r="U25" s="221">
        <v>1</v>
      </c>
      <c r="V25" s="221">
        <v>1.5</v>
      </c>
      <c r="W25" s="238">
        <f t="shared" si="13"/>
        <v>8.9</v>
      </c>
      <c r="X25" s="238">
        <f t="shared" si="14"/>
        <v>4.0999999999999996</v>
      </c>
      <c r="Y25" s="238">
        <f t="shared" si="5"/>
        <v>5</v>
      </c>
      <c r="Z25" s="238">
        <f t="shared" si="6"/>
        <v>5</v>
      </c>
      <c r="AA25" s="221">
        <v>7</v>
      </c>
      <c r="AB25" s="221">
        <v>7.5</v>
      </c>
      <c r="AC25" s="221">
        <v>4</v>
      </c>
      <c r="AD25" s="221">
        <v>2.8</v>
      </c>
      <c r="AE25" s="221">
        <v>1.8</v>
      </c>
      <c r="AF25" s="238">
        <f t="shared" si="7"/>
        <v>6</v>
      </c>
      <c r="AG25" s="221">
        <v>3.4</v>
      </c>
      <c r="AH25" s="221">
        <v>1.8</v>
      </c>
      <c r="AI25" s="221">
        <v>5.4</v>
      </c>
      <c r="AJ25" s="238">
        <f t="shared" si="8"/>
        <v>2.5</v>
      </c>
      <c r="AK25" s="221">
        <v>2.5</v>
      </c>
      <c r="AL25" s="221">
        <v>5</v>
      </c>
      <c r="AM25" s="238">
        <f t="shared" si="0"/>
        <v>72.699999999999989</v>
      </c>
      <c r="AN25" s="243">
        <f t="shared" si="21"/>
        <v>10</v>
      </c>
      <c r="AO25" s="218"/>
      <c r="AP25" s="243">
        <f t="shared" si="22"/>
        <v>12</v>
      </c>
      <c r="AQ25" s="149">
        <v>15.35</v>
      </c>
      <c r="AR25" s="149">
        <v>13.45</v>
      </c>
      <c r="AS25" s="149">
        <v>15.45</v>
      </c>
      <c r="AT25" s="149">
        <v>13.1</v>
      </c>
      <c r="AU25" s="149">
        <v>16.75</v>
      </c>
      <c r="AV25" s="197">
        <f t="shared" si="17"/>
        <v>14.819999999999999</v>
      </c>
      <c r="AW25" s="149">
        <v>16.399999999999999</v>
      </c>
      <c r="AX25" s="149">
        <v>15</v>
      </c>
      <c r="AY25" s="149">
        <v>12.5</v>
      </c>
      <c r="AZ25" s="149">
        <v>14</v>
      </c>
      <c r="BA25" s="149">
        <v>12.6</v>
      </c>
      <c r="BB25" s="199">
        <f t="shared" si="18"/>
        <v>14.475</v>
      </c>
      <c r="BC25" s="200">
        <v>12</v>
      </c>
      <c r="BD25" s="200">
        <f t="shared" si="19"/>
        <v>0</v>
      </c>
      <c r="BE25" s="149">
        <v>11.35</v>
      </c>
      <c r="BF25" s="149">
        <v>12.5</v>
      </c>
      <c r="BG25" s="149">
        <v>13.4</v>
      </c>
      <c r="BH25" s="149">
        <v>11</v>
      </c>
      <c r="BI25" s="149">
        <v>13.85</v>
      </c>
      <c r="BJ25" s="199">
        <f>AVERAGE(BE25:BI25)</f>
        <v>12.42</v>
      </c>
      <c r="BK25" s="149">
        <v>11.15</v>
      </c>
      <c r="BL25" s="149">
        <v>11.8</v>
      </c>
      <c r="BM25" s="149">
        <v>12.1</v>
      </c>
      <c r="BN25" s="149">
        <v>10.5</v>
      </c>
      <c r="BO25" s="149">
        <v>12.9</v>
      </c>
      <c r="BP25" s="199">
        <f>AVERAGE(BK25:BO25)</f>
        <v>11.690000000000001</v>
      </c>
      <c r="BQ25" s="160">
        <v>11</v>
      </c>
      <c r="BR25" s="200">
        <f t="shared" si="20"/>
        <v>0</v>
      </c>
    </row>
    <row r="26" spans="1:70">
      <c r="A26" s="218" t="s">
        <v>100</v>
      </c>
      <c r="B26" s="218" t="s">
        <v>716</v>
      </c>
      <c r="C26" s="219" t="s">
        <v>678</v>
      </c>
      <c r="D26" s="219">
        <v>3</v>
      </c>
      <c r="E26" s="229">
        <v>0.58263888888888904</v>
      </c>
      <c r="F26" s="220">
        <v>0.60932870370370373</v>
      </c>
      <c r="G26" s="220">
        <v>0.71474537037037045</v>
      </c>
      <c r="H26" s="208">
        <f t="shared" si="1"/>
        <v>2.6689814814814694E-2</v>
      </c>
      <c r="I26" s="208">
        <f t="shared" si="11"/>
        <v>1.4768518518519014E-2</v>
      </c>
      <c r="J26" s="208">
        <f t="shared" si="2"/>
        <v>0.13210648148148141</v>
      </c>
      <c r="K26" s="220">
        <v>0.125</v>
      </c>
      <c r="L26" s="220">
        <v>0.3215277777777778</v>
      </c>
      <c r="M26" s="220">
        <v>0.3605902777777778</v>
      </c>
      <c r="N26" s="220">
        <v>0.50178240740740743</v>
      </c>
      <c r="O26" s="208">
        <f t="shared" si="3"/>
        <v>3.90625E-2</v>
      </c>
      <c r="P26" s="208">
        <f t="shared" si="12"/>
        <v>1.9305555555555576E-2</v>
      </c>
      <c r="Q26" s="208">
        <f t="shared" si="4"/>
        <v>0.18025462962962963</v>
      </c>
      <c r="R26" s="220">
        <v>0.1875</v>
      </c>
      <c r="S26" s="221">
        <v>0</v>
      </c>
      <c r="T26" s="221">
        <v>1</v>
      </c>
      <c r="U26" s="221">
        <v>0.5</v>
      </c>
      <c r="V26" s="221">
        <v>1.5</v>
      </c>
      <c r="W26" s="238">
        <f t="shared" si="13"/>
        <v>4.4000000000000004</v>
      </c>
      <c r="X26" s="238">
        <f t="shared" si="14"/>
        <v>1.1000000000000001</v>
      </c>
      <c r="Y26" s="238">
        <f t="shared" si="5"/>
        <v>3</v>
      </c>
      <c r="Z26" s="238">
        <f t="shared" si="6"/>
        <v>5</v>
      </c>
      <c r="AA26" s="221">
        <v>6</v>
      </c>
      <c r="AB26" s="221">
        <v>0</v>
      </c>
      <c r="AC26" s="221">
        <v>0</v>
      </c>
      <c r="AD26" s="221">
        <v>0.1</v>
      </c>
      <c r="AE26" s="221">
        <v>1.6</v>
      </c>
      <c r="AF26" s="238">
        <f t="shared" si="7"/>
        <v>1</v>
      </c>
      <c r="AG26" s="221">
        <v>2</v>
      </c>
      <c r="AH26" s="221">
        <v>0.4</v>
      </c>
      <c r="AI26" s="221">
        <v>4.3</v>
      </c>
      <c r="AJ26" s="238">
        <f t="shared" si="8"/>
        <v>2</v>
      </c>
      <c r="AK26" s="221">
        <v>0.5</v>
      </c>
      <c r="AL26" s="221">
        <v>5</v>
      </c>
      <c r="AM26" s="238">
        <f t="shared" si="0"/>
        <v>36.400000000000006</v>
      </c>
      <c r="AN26" s="243">
        <f t="shared" si="21"/>
        <v>18</v>
      </c>
      <c r="AO26" s="218"/>
      <c r="AP26" s="243">
        <f t="shared" si="22"/>
        <v>17</v>
      </c>
      <c r="AQ26" s="149">
        <v>15.3</v>
      </c>
      <c r="AR26" s="149">
        <v>15.35</v>
      </c>
      <c r="AS26" s="149">
        <v>12.7</v>
      </c>
      <c r="AT26" s="149"/>
      <c r="AU26" s="149"/>
      <c r="AV26" s="197">
        <f t="shared" si="17"/>
        <v>14.449999999999998</v>
      </c>
      <c r="AW26" s="149">
        <v>11.8</v>
      </c>
      <c r="AX26" s="149">
        <v>14.65</v>
      </c>
      <c r="AY26" s="149">
        <v>14.95</v>
      </c>
      <c r="AZ26" s="149"/>
      <c r="BA26" s="81"/>
      <c r="BB26" s="199">
        <f t="shared" si="18"/>
        <v>13.800000000000002</v>
      </c>
      <c r="BC26" s="200">
        <v>12</v>
      </c>
      <c r="BD26" s="200">
        <f t="shared" si="19"/>
        <v>0</v>
      </c>
      <c r="BE26" s="149">
        <v>12.2</v>
      </c>
      <c r="BF26" s="149">
        <v>12.7</v>
      </c>
      <c r="BG26" s="149">
        <v>11.25</v>
      </c>
      <c r="BH26" s="149"/>
      <c r="BI26" s="81"/>
      <c r="BJ26" s="199">
        <f>AVERAGE(BE26:BH26)</f>
        <v>12.049999999999999</v>
      </c>
      <c r="BK26" s="149">
        <v>11.4</v>
      </c>
      <c r="BL26" s="149">
        <v>11.8</v>
      </c>
      <c r="BM26" s="149">
        <v>11.9</v>
      </c>
      <c r="BN26" s="149"/>
      <c r="BO26" s="149"/>
      <c r="BP26" s="199">
        <f t="shared" si="10"/>
        <v>11.700000000000001</v>
      </c>
      <c r="BQ26" s="160">
        <v>11</v>
      </c>
      <c r="BR26" s="200">
        <f t="shared" si="20"/>
        <v>0</v>
      </c>
    </row>
    <row r="27" spans="1:70">
      <c r="A27" s="218" t="s">
        <v>100</v>
      </c>
      <c r="B27" s="218" t="s">
        <v>717</v>
      </c>
      <c r="C27" s="219" t="s">
        <v>679</v>
      </c>
      <c r="D27" s="219">
        <v>5</v>
      </c>
      <c r="E27" s="220">
        <v>0.58298611111111198</v>
      </c>
      <c r="F27" s="220">
        <v>0.6015625</v>
      </c>
      <c r="G27" s="220">
        <v>0.68753472222222223</v>
      </c>
      <c r="H27" s="208">
        <f t="shared" si="1"/>
        <v>1.8576388888888018E-2</v>
      </c>
      <c r="I27" s="208">
        <f t="shared" si="11"/>
        <v>6.6550925925923377E-3</v>
      </c>
      <c r="J27" s="208">
        <f t="shared" si="2"/>
        <v>0.10454861111111025</v>
      </c>
      <c r="K27" s="220">
        <v>0.125</v>
      </c>
      <c r="L27" s="220">
        <v>0.31875000000000003</v>
      </c>
      <c r="M27" s="220">
        <v>0.35202546296296294</v>
      </c>
      <c r="N27" s="220">
        <v>0.47210648148148149</v>
      </c>
      <c r="O27" s="208">
        <f t="shared" si="3"/>
        <v>3.327546296296291E-2</v>
      </c>
      <c r="P27" s="208">
        <f t="shared" si="12"/>
        <v>1.3518518518518485E-2</v>
      </c>
      <c r="Q27" s="208">
        <f t="shared" si="4"/>
        <v>0.15335648148148145</v>
      </c>
      <c r="R27" s="220">
        <v>0.1875</v>
      </c>
      <c r="S27" s="221">
        <v>1</v>
      </c>
      <c r="T27" s="221">
        <v>2</v>
      </c>
      <c r="U27" s="221">
        <v>1</v>
      </c>
      <c r="V27" s="221">
        <v>1.5</v>
      </c>
      <c r="W27" s="238">
        <f>ROUND(MAX(W$2-I27*60*24*0.5+BD27,0),1)</f>
        <v>10.199999999999999</v>
      </c>
      <c r="X27" s="238">
        <f t="shared" si="14"/>
        <v>5.3</v>
      </c>
      <c r="Y27" s="238">
        <f t="shared" si="5"/>
        <v>5</v>
      </c>
      <c r="Z27" s="238">
        <f t="shared" si="6"/>
        <v>5</v>
      </c>
      <c r="AA27" s="221">
        <v>6.6</v>
      </c>
      <c r="AB27" s="221">
        <v>7</v>
      </c>
      <c r="AC27" s="221">
        <v>3.4</v>
      </c>
      <c r="AD27" s="221">
        <v>2.8</v>
      </c>
      <c r="AE27" s="221">
        <v>2</v>
      </c>
      <c r="AF27" s="238">
        <f t="shared" si="7"/>
        <v>3</v>
      </c>
      <c r="AG27" s="221">
        <v>3</v>
      </c>
      <c r="AH27" s="221">
        <v>1.6</v>
      </c>
      <c r="AI27" s="221">
        <v>4.7</v>
      </c>
      <c r="AJ27" s="238">
        <f t="shared" si="8"/>
        <v>2.5</v>
      </c>
      <c r="AK27" s="221">
        <v>3</v>
      </c>
      <c r="AL27" s="221">
        <v>5</v>
      </c>
      <c r="AM27" s="238">
        <f t="shared" si="0"/>
        <v>70.099999999999994</v>
      </c>
      <c r="AN27" s="243">
        <f t="shared" si="21"/>
        <v>12</v>
      </c>
      <c r="AO27" s="218"/>
      <c r="AP27" s="243">
        <f t="shared" si="22"/>
        <v>9</v>
      </c>
      <c r="AQ27" s="149">
        <v>14.5</v>
      </c>
      <c r="AR27" s="149">
        <v>13.45</v>
      </c>
      <c r="AS27" s="149">
        <v>12.25</v>
      </c>
      <c r="AT27" s="149">
        <v>9.5</v>
      </c>
      <c r="AU27" s="149">
        <v>10.85</v>
      </c>
      <c r="AV27" s="197">
        <f t="shared" si="17"/>
        <v>12.110000000000001</v>
      </c>
      <c r="AW27" s="149">
        <v>14</v>
      </c>
      <c r="AX27" s="149">
        <v>13.6</v>
      </c>
      <c r="AY27" s="149">
        <v>12.3</v>
      </c>
      <c r="AZ27" s="149">
        <v>9.5</v>
      </c>
      <c r="BA27" s="149">
        <v>10.9</v>
      </c>
      <c r="BB27" s="199">
        <f t="shared" si="18"/>
        <v>12.350000000000001</v>
      </c>
      <c r="BC27" s="200">
        <v>12</v>
      </c>
      <c r="BD27" s="200">
        <f t="shared" si="19"/>
        <v>0</v>
      </c>
      <c r="BE27" s="149">
        <v>12.1</v>
      </c>
      <c r="BF27" s="149">
        <v>14.35</v>
      </c>
      <c r="BG27" s="149">
        <v>12.4</v>
      </c>
      <c r="BH27" s="149">
        <v>13.9</v>
      </c>
      <c r="BI27" s="149">
        <v>10.8</v>
      </c>
      <c r="BJ27" s="199">
        <f>AVERAGE(BE27:BI27)</f>
        <v>12.709999999999999</v>
      </c>
      <c r="BK27" s="149">
        <v>11.75</v>
      </c>
      <c r="BL27" s="149">
        <v>13.9</v>
      </c>
      <c r="BM27" s="149">
        <v>8.9</v>
      </c>
      <c r="BN27" s="149">
        <v>13.55</v>
      </c>
      <c r="BO27" s="149">
        <v>14</v>
      </c>
      <c r="BP27" s="199">
        <f>AVERAGE(BK27:BO27)</f>
        <v>12.419999999999998</v>
      </c>
      <c r="BQ27" s="160">
        <v>11</v>
      </c>
      <c r="BR27" s="200">
        <f t="shared" si="20"/>
        <v>0</v>
      </c>
    </row>
    <row r="28" spans="1:70">
      <c r="A28" s="218" t="s">
        <v>100</v>
      </c>
      <c r="B28" s="218" t="s">
        <v>718</v>
      </c>
      <c r="C28" s="219" t="s">
        <v>680</v>
      </c>
      <c r="D28" s="219">
        <v>4</v>
      </c>
      <c r="E28" s="229">
        <v>0.58333333333333404</v>
      </c>
      <c r="F28" s="220">
        <v>0.60197916666666662</v>
      </c>
      <c r="G28" s="220">
        <v>0.70181712962962972</v>
      </c>
      <c r="H28" s="208">
        <f>F28-E28</f>
        <v>1.8645833333332584E-2</v>
      </c>
      <c r="I28" s="208">
        <f t="shared" si="11"/>
        <v>6.724537037036904E-3</v>
      </c>
      <c r="J28" s="208">
        <f>G28-E28</f>
        <v>0.11848379629629568</v>
      </c>
      <c r="K28" s="220">
        <v>0.125</v>
      </c>
      <c r="L28" s="220">
        <v>0.3190972222222222</v>
      </c>
      <c r="M28" s="220">
        <v>0.34714120370370366</v>
      </c>
      <c r="N28" s="220">
        <v>0.47873842592592591</v>
      </c>
      <c r="O28" s="208">
        <f>M28-L28</f>
        <v>2.8043981481481461E-2</v>
      </c>
      <c r="P28" s="208">
        <f t="shared" si="12"/>
        <v>8.2870370370370372E-3</v>
      </c>
      <c r="Q28" s="208">
        <f t="shared" si="4"/>
        <v>0.15964120370370372</v>
      </c>
      <c r="R28" s="220">
        <v>0.1875</v>
      </c>
      <c r="S28" s="221">
        <v>1</v>
      </c>
      <c r="T28" s="221">
        <v>1</v>
      </c>
      <c r="U28" s="221">
        <v>1</v>
      </c>
      <c r="V28" s="221">
        <v>2.5</v>
      </c>
      <c r="W28" s="238">
        <f>ROUND(MAX(W$2-I28*60*24*0.5+BD28,0),1)</f>
        <v>10.199999999999999</v>
      </c>
      <c r="X28" s="238">
        <f t="shared" si="14"/>
        <v>9</v>
      </c>
      <c r="Y28" s="238">
        <f t="shared" si="5"/>
        <v>5</v>
      </c>
      <c r="Z28" s="238">
        <f t="shared" si="6"/>
        <v>5</v>
      </c>
      <c r="AA28" s="221">
        <v>9</v>
      </c>
      <c r="AB28" s="221">
        <v>7.1</v>
      </c>
      <c r="AC28" s="221">
        <v>4</v>
      </c>
      <c r="AD28" s="221">
        <v>4.3</v>
      </c>
      <c r="AE28" s="221">
        <v>2</v>
      </c>
      <c r="AF28" s="238">
        <f>SUM(S28:T28)</f>
        <v>2</v>
      </c>
      <c r="AG28" s="221">
        <v>2.6</v>
      </c>
      <c r="AH28" s="221">
        <v>2</v>
      </c>
      <c r="AI28" s="221">
        <v>5.6</v>
      </c>
      <c r="AJ28" s="238">
        <f t="shared" si="8"/>
        <v>3.5</v>
      </c>
      <c r="AK28" s="221">
        <v>3</v>
      </c>
      <c r="AL28" s="221">
        <v>5</v>
      </c>
      <c r="AM28" s="238">
        <f t="shared" si="0"/>
        <v>79.3</v>
      </c>
      <c r="AN28" s="243">
        <f t="shared" si="21"/>
        <v>9</v>
      </c>
      <c r="AO28" s="218"/>
      <c r="AP28" s="243">
        <f t="shared" si="22"/>
        <v>10</v>
      </c>
      <c r="AQ28" s="149">
        <v>14.1</v>
      </c>
      <c r="AR28" s="149">
        <v>11.55</v>
      </c>
      <c r="AS28" s="149">
        <v>11.6</v>
      </c>
      <c r="AT28" s="149">
        <v>14.05</v>
      </c>
      <c r="AU28" s="149"/>
      <c r="AV28" s="197">
        <f>AVERAGE(AQ28:AU28)</f>
        <v>12.824999999999999</v>
      </c>
      <c r="AW28" s="149">
        <v>13.65</v>
      </c>
      <c r="AX28" s="149">
        <v>11</v>
      </c>
      <c r="AY28" s="149">
        <v>11.45</v>
      </c>
      <c r="AZ28" s="149">
        <v>13.9</v>
      </c>
      <c r="BA28" s="81"/>
      <c r="BB28" s="199">
        <f t="shared" si="18"/>
        <v>12.499999999999998</v>
      </c>
      <c r="BC28" s="200">
        <v>12</v>
      </c>
      <c r="BD28" s="200">
        <f t="shared" si="19"/>
        <v>0</v>
      </c>
      <c r="BE28" s="149">
        <v>15</v>
      </c>
      <c r="BF28" s="149">
        <v>10.050000000000001</v>
      </c>
      <c r="BG28" s="149">
        <v>10.55</v>
      </c>
      <c r="BH28" s="149">
        <v>14.9</v>
      </c>
      <c r="BI28" s="81"/>
      <c r="BJ28" s="199">
        <f>AVERAGE(BE28:BH28)</f>
        <v>12.625</v>
      </c>
      <c r="BK28" s="149">
        <v>14.9</v>
      </c>
      <c r="BL28" s="149">
        <v>10.6</v>
      </c>
      <c r="BM28" s="149">
        <v>10.050000000000001</v>
      </c>
      <c r="BN28" s="149">
        <v>14.95</v>
      </c>
      <c r="BO28" s="149"/>
      <c r="BP28" s="199">
        <f>AVERAGE(BK28:BN28)</f>
        <v>12.625</v>
      </c>
      <c r="BQ28" s="160">
        <v>11</v>
      </c>
      <c r="BR28" s="200">
        <f t="shared" si="20"/>
        <v>0</v>
      </c>
    </row>
    <row r="29" spans="1:70">
      <c r="A29" s="218" t="s">
        <v>100</v>
      </c>
      <c r="B29" s="218" t="s">
        <v>719</v>
      </c>
      <c r="C29" s="219" t="s">
        <v>722</v>
      </c>
      <c r="D29" s="219">
        <v>5</v>
      </c>
      <c r="E29" s="220">
        <v>0.58368055555555598</v>
      </c>
      <c r="F29" s="220">
        <v>0.59873842592592597</v>
      </c>
      <c r="G29" s="220">
        <v>0.68906250000000002</v>
      </c>
      <c r="H29" s="208">
        <f t="shared" ref="H29:H39" si="24">F29-E29</f>
        <v>1.5057870370369986E-2</v>
      </c>
      <c r="I29" s="208">
        <f t="shared" si="11"/>
        <v>3.1365740740743053E-3</v>
      </c>
      <c r="J29" s="208">
        <f t="shared" si="2"/>
        <v>0.10538194444444404</v>
      </c>
      <c r="K29" s="220">
        <v>0.125</v>
      </c>
      <c r="L29" s="220">
        <v>0.31701388888888887</v>
      </c>
      <c r="M29" s="220">
        <v>0.34237268518518515</v>
      </c>
      <c r="N29" s="220">
        <v>0.50111111111111117</v>
      </c>
      <c r="O29" s="208">
        <f t="shared" ref="O29:O39" si="25">M29-L29</f>
        <v>2.5358796296296282E-2</v>
      </c>
      <c r="P29" s="208">
        <f t="shared" si="12"/>
        <v>5.6018518518518579E-3</v>
      </c>
      <c r="Q29" s="208">
        <f t="shared" si="4"/>
        <v>0.1840972222222223</v>
      </c>
      <c r="R29" s="220">
        <v>0.1875</v>
      </c>
      <c r="S29" s="221">
        <v>3</v>
      </c>
      <c r="T29" s="221">
        <v>3</v>
      </c>
      <c r="U29" s="221">
        <v>1.5</v>
      </c>
      <c r="V29" s="221">
        <v>2.5</v>
      </c>
      <c r="W29" s="238">
        <f t="shared" ref="W29:W39" si="26">ROUND(MAX(W$2-I29*60*24*0.5+BD29,0),1)</f>
        <v>12.7</v>
      </c>
      <c r="X29" s="238">
        <f t="shared" ref="X29:X39" si="27">ROUND(MAX(X$2-P29*60*24*0.5+BR29,0),1)</f>
        <v>11</v>
      </c>
      <c r="Y29" s="238">
        <f t="shared" ref="Y29:Y39" si="28">ROUND(MAX(MIN(Y$2+(K29-J29)*60*24*0.2,$Y$2),0),1)</f>
        <v>5</v>
      </c>
      <c r="Z29" s="238">
        <f t="shared" ref="Z29:Z39" si="29">ROUND(MAX(MIN($Z$2+(R29-Q29)*60*24*0.2,$Z$2),0),1)</f>
        <v>5</v>
      </c>
      <c r="AA29" s="221">
        <v>10</v>
      </c>
      <c r="AB29" s="221">
        <v>8</v>
      </c>
      <c r="AC29" s="221">
        <v>4</v>
      </c>
      <c r="AD29" s="221">
        <v>4.0999999999999996</v>
      </c>
      <c r="AE29" s="221">
        <v>2</v>
      </c>
      <c r="AF29" s="238">
        <f t="shared" ref="AF29:AF39" si="30">SUM(S29:T29)</f>
        <v>6</v>
      </c>
      <c r="AG29" s="221">
        <v>4</v>
      </c>
      <c r="AH29" s="221">
        <v>1.8</v>
      </c>
      <c r="AI29" s="221">
        <v>5.8</v>
      </c>
      <c r="AJ29" s="238">
        <f t="shared" si="8"/>
        <v>4</v>
      </c>
      <c r="AK29" s="221">
        <v>3</v>
      </c>
      <c r="AL29" s="221">
        <v>5</v>
      </c>
      <c r="AM29" s="238">
        <f t="shared" si="0"/>
        <v>91.4</v>
      </c>
      <c r="AN29" s="243">
        <f t="shared" si="21"/>
        <v>4</v>
      </c>
      <c r="AO29" s="218"/>
      <c r="AP29" s="243">
        <f t="shared" si="22"/>
        <v>4</v>
      </c>
      <c r="AQ29" s="149">
        <v>11.8</v>
      </c>
      <c r="AR29" s="149">
        <v>13.5</v>
      </c>
      <c r="AS29" s="149">
        <v>11.5</v>
      </c>
      <c r="AT29" s="149">
        <v>13</v>
      </c>
      <c r="AU29" s="149">
        <v>12.55</v>
      </c>
      <c r="AV29" s="199">
        <f>AVERAGE(AQ29:AU29)</f>
        <v>12.469999999999999</v>
      </c>
      <c r="AW29" s="149">
        <v>11.6</v>
      </c>
      <c r="AX29" s="149">
        <v>13.35</v>
      </c>
      <c r="AY29" s="149">
        <v>11.3</v>
      </c>
      <c r="AZ29" s="149">
        <v>13.1</v>
      </c>
      <c r="BA29" s="149">
        <v>12.4</v>
      </c>
      <c r="BB29" s="199">
        <f t="shared" si="18"/>
        <v>12.3375</v>
      </c>
      <c r="BC29" s="200">
        <v>12</v>
      </c>
      <c r="BD29" s="200">
        <f t="shared" si="19"/>
        <v>0</v>
      </c>
      <c r="BE29" s="149">
        <v>11.45</v>
      </c>
      <c r="BF29" s="149">
        <v>14</v>
      </c>
      <c r="BG29" s="149">
        <v>10.65</v>
      </c>
      <c r="BH29" s="149">
        <v>13.55</v>
      </c>
      <c r="BI29" s="149">
        <v>12.4</v>
      </c>
      <c r="BJ29" s="199">
        <f t="shared" ref="BJ29:BJ39" si="31">AVERAGE(BE29:BH29)</f>
        <v>12.412500000000001</v>
      </c>
      <c r="BK29" s="149">
        <v>10.5</v>
      </c>
      <c r="BL29" s="149">
        <v>13.1</v>
      </c>
      <c r="BM29" s="149">
        <v>9.8000000000000007</v>
      </c>
      <c r="BN29" s="149">
        <v>12.75</v>
      </c>
      <c r="BO29" s="149">
        <v>11.1</v>
      </c>
      <c r="BP29" s="199">
        <f>AVERAGE(BK29:BO29)</f>
        <v>11.450000000000001</v>
      </c>
      <c r="BQ29" s="160">
        <v>11</v>
      </c>
      <c r="BR29" s="200">
        <f t="shared" ref="BR29:BR39" si="32">IF(ISERR(BP29),0,IF(BP29&lt;BQ29,BP29-BQ29,0))</f>
        <v>0</v>
      </c>
    </row>
    <row r="30" spans="1:70">
      <c r="A30" s="218" t="s">
        <v>100</v>
      </c>
      <c r="B30" s="218" t="s">
        <v>720</v>
      </c>
      <c r="C30" s="219" t="s">
        <v>723</v>
      </c>
      <c r="D30" s="219">
        <v>3</v>
      </c>
      <c r="E30" s="229">
        <v>0.58402777777777903</v>
      </c>
      <c r="F30" s="220">
        <v>0.60879629629629628</v>
      </c>
      <c r="G30" s="220">
        <v>0.70385416666666656</v>
      </c>
      <c r="H30" s="208">
        <f t="shared" si="24"/>
        <v>2.4768518518517246E-2</v>
      </c>
      <c r="I30" s="208">
        <f t="shared" si="11"/>
        <v>1.2847222222221566E-2</v>
      </c>
      <c r="J30" s="208">
        <f t="shared" si="2"/>
        <v>0.11982638888888753</v>
      </c>
      <c r="K30" s="220">
        <v>0.125</v>
      </c>
      <c r="L30" s="220">
        <v>0.32083333333333336</v>
      </c>
      <c r="M30" s="220">
        <v>0.35795138888888894</v>
      </c>
      <c r="N30" s="220">
        <v>0.48399305555555555</v>
      </c>
      <c r="O30" s="208">
        <f t="shared" si="25"/>
        <v>3.7118055555555585E-2</v>
      </c>
      <c r="P30" s="208">
        <f t="shared" si="12"/>
        <v>1.736111111111116E-2</v>
      </c>
      <c r="Q30" s="208">
        <f t="shared" si="4"/>
        <v>0.16315972222222219</v>
      </c>
      <c r="R30" s="220">
        <v>0.1875</v>
      </c>
      <c r="S30" s="221">
        <v>1</v>
      </c>
      <c r="T30" s="221">
        <v>0</v>
      </c>
      <c r="U30" s="221">
        <v>1</v>
      </c>
      <c r="V30" s="221">
        <v>2.5</v>
      </c>
      <c r="W30" s="238">
        <f t="shared" si="26"/>
        <v>5.8</v>
      </c>
      <c r="X30" s="238">
        <f t="shared" si="27"/>
        <v>2.5</v>
      </c>
      <c r="Y30" s="238">
        <f t="shared" si="28"/>
        <v>5</v>
      </c>
      <c r="Z30" s="238">
        <f t="shared" si="29"/>
        <v>5</v>
      </c>
      <c r="AA30" s="221">
        <v>6.2</v>
      </c>
      <c r="AB30" s="221">
        <v>5.3</v>
      </c>
      <c r="AC30" s="221">
        <v>4</v>
      </c>
      <c r="AD30" s="221">
        <v>0.9</v>
      </c>
      <c r="AE30" s="221">
        <v>1.2</v>
      </c>
      <c r="AF30" s="238">
        <f t="shared" si="30"/>
        <v>1</v>
      </c>
      <c r="AG30" s="221">
        <v>2.6</v>
      </c>
      <c r="AH30" s="221">
        <v>1.2</v>
      </c>
      <c r="AI30" s="221">
        <v>3.9</v>
      </c>
      <c r="AJ30" s="238">
        <f t="shared" si="8"/>
        <v>3.5</v>
      </c>
      <c r="AK30" s="221">
        <v>3</v>
      </c>
      <c r="AL30" s="221">
        <v>5</v>
      </c>
      <c r="AM30" s="238">
        <f t="shared" si="0"/>
        <v>56.1</v>
      </c>
      <c r="AN30" s="243">
        <f t="shared" si="21"/>
        <v>16</v>
      </c>
      <c r="AO30" s="218"/>
      <c r="AP30" s="243">
        <f t="shared" si="22"/>
        <v>15</v>
      </c>
      <c r="AQ30" s="149">
        <v>14.55</v>
      </c>
      <c r="AR30" s="149">
        <v>13.35</v>
      </c>
      <c r="AS30" s="149">
        <v>17.5</v>
      </c>
      <c r="AW30" s="149">
        <v>14.2</v>
      </c>
      <c r="AX30" s="149">
        <v>13.05</v>
      </c>
      <c r="AY30" s="149">
        <v>17.05</v>
      </c>
      <c r="BB30" s="199">
        <f t="shared" si="18"/>
        <v>14.766666666666666</v>
      </c>
      <c r="BC30" s="200">
        <v>12</v>
      </c>
      <c r="BD30" s="200">
        <f t="shared" si="19"/>
        <v>0</v>
      </c>
      <c r="BE30" s="149">
        <v>13.05</v>
      </c>
      <c r="BF30" s="149">
        <v>11.75</v>
      </c>
      <c r="BG30" s="149">
        <v>12.45</v>
      </c>
      <c r="BJ30" s="199">
        <f t="shared" si="31"/>
        <v>12.416666666666666</v>
      </c>
      <c r="BK30" s="149">
        <v>12.7</v>
      </c>
      <c r="BL30" s="149">
        <v>12</v>
      </c>
      <c r="BM30" s="149">
        <v>11.5</v>
      </c>
      <c r="BP30" s="199">
        <f t="shared" ref="BP30:BP38" si="33">AVERAGE(BK30:BN30)</f>
        <v>12.066666666666668</v>
      </c>
      <c r="BQ30" s="160">
        <v>11</v>
      </c>
      <c r="BR30" s="200">
        <f t="shared" si="32"/>
        <v>0</v>
      </c>
    </row>
    <row r="31" spans="1:70" ht="14.25" thickBot="1">
      <c r="A31" s="223" t="s">
        <v>100</v>
      </c>
      <c r="B31" s="223" t="s">
        <v>721</v>
      </c>
      <c r="C31" s="224" t="s">
        <v>724</v>
      </c>
      <c r="D31" s="224">
        <v>4</v>
      </c>
      <c r="E31" s="225">
        <v>0.58437500000000098</v>
      </c>
      <c r="F31" s="225">
        <v>0.6028472222222222</v>
      </c>
      <c r="G31" s="225">
        <v>0.70472222222222225</v>
      </c>
      <c r="H31" s="209">
        <f t="shared" si="24"/>
        <v>1.8472222222221224E-2</v>
      </c>
      <c r="I31" s="209">
        <f>H31-MIN(H$3:H$31)</f>
        <v>6.5509259259255437E-3</v>
      </c>
      <c r="J31" s="209">
        <f t="shared" si="2"/>
        <v>0.12034722222222127</v>
      </c>
      <c r="K31" s="225">
        <v>0.125</v>
      </c>
      <c r="L31" s="225">
        <v>0.31840277777777776</v>
      </c>
      <c r="M31" s="225">
        <v>0.34783564814814816</v>
      </c>
      <c r="N31" s="225">
        <v>0.4878703703703704</v>
      </c>
      <c r="O31" s="209">
        <f t="shared" si="25"/>
        <v>2.9432870370370401E-2</v>
      </c>
      <c r="P31" s="209">
        <f t="shared" si="12"/>
        <v>9.6759259259259767E-3</v>
      </c>
      <c r="Q31" s="209">
        <f t="shared" si="4"/>
        <v>0.16946759259259264</v>
      </c>
      <c r="R31" s="225">
        <v>0.1875</v>
      </c>
      <c r="S31" s="226">
        <v>2</v>
      </c>
      <c r="T31" s="226">
        <v>3</v>
      </c>
      <c r="U31" s="226">
        <v>1.5</v>
      </c>
      <c r="V31" s="226">
        <v>2.5</v>
      </c>
      <c r="W31" s="239">
        <f t="shared" si="26"/>
        <v>10.3</v>
      </c>
      <c r="X31" s="239">
        <f t="shared" si="27"/>
        <v>8</v>
      </c>
      <c r="Y31" s="239">
        <f t="shared" si="28"/>
        <v>5</v>
      </c>
      <c r="Z31" s="239">
        <f t="shared" si="29"/>
        <v>5</v>
      </c>
      <c r="AA31" s="226">
        <v>9.5</v>
      </c>
      <c r="AB31" s="226">
        <v>7.7</v>
      </c>
      <c r="AC31" s="226">
        <v>4</v>
      </c>
      <c r="AD31" s="226">
        <v>3.3</v>
      </c>
      <c r="AE31" s="226">
        <v>1.8</v>
      </c>
      <c r="AF31" s="239">
        <f t="shared" si="30"/>
        <v>5</v>
      </c>
      <c r="AG31" s="226">
        <v>2.8</v>
      </c>
      <c r="AH31" s="226">
        <v>2</v>
      </c>
      <c r="AI31" s="226">
        <v>5.5</v>
      </c>
      <c r="AJ31" s="239">
        <f t="shared" si="8"/>
        <v>4</v>
      </c>
      <c r="AK31" s="226">
        <v>3</v>
      </c>
      <c r="AL31" s="226">
        <v>4.5</v>
      </c>
      <c r="AM31" s="239">
        <f t="shared" si="0"/>
        <v>81.399999999999991</v>
      </c>
      <c r="AN31" s="244">
        <f t="shared" si="21"/>
        <v>8</v>
      </c>
      <c r="AO31" s="223"/>
      <c r="AP31" s="244">
        <f t="shared" si="22"/>
        <v>8</v>
      </c>
      <c r="AQ31" s="149">
        <v>13.25</v>
      </c>
      <c r="AR31" s="149">
        <v>13.2</v>
      </c>
      <c r="AS31" s="149">
        <v>12.6</v>
      </c>
      <c r="AT31" s="149">
        <v>15.55</v>
      </c>
      <c r="AW31" s="149">
        <v>11.65</v>
      </c>
      <c r="AX31" s="149">
        <v>15.4</v>
      </c>
      <c r="AY31" s="149">
        <v>13</v>
      </c>
      <c r="AZ31" s="149">
        <v>12.7</v>
      </c>
      <c r="BB31" s="199">
        <f t="shared" si="18"/>
        <v>13.1875</v>
      </c>
      <c r="BC31" s="200">
        <v>12</v>
      </c>
      <c r="BD31" s="200">
        <f t="shared" si="19"/>
        <v>0</v>
      </c>
      <c r="BE31" s="149">
        <v>12.35</v>
      </c>
      <c r="BF31" s="149">
        <v>11.75</v>
      </c>
      <c r="BG31" s="149">
        <v>12.05</v>
      </c>
      <c r="BH31" s="149">
        <v>14.05</v>
      </c>
      <c r="BJ31" s="199">
        <f t="shared" si="31"/>
        <v>12.55</v>
      </c>
      <c r="BK31" s="149">
        <v>11.4</v>
      </c>
      <c r="BL31" s="149">
        <v>11.7</v>
      </c>
      <c r="BM31" s="149">
        <v>11.1</v>
      </c>
      <c r="BN31" s="149">
        <v>13.8</v>
      </c>
      <c r="BP31" s="199">
        <f t="shared" si="33"/>
        <v>12</v>
      </c>
      <c r="BQ31" s="160">
        <v>11</v>
      </c>
      <c r="BR31" s="200">
        <f t="shared" si="32"/>
        <v>0</v>
      </c>
    </row>
    <row r="32" spans="1:70">
      <c r="A32" s="227" t="s">
        <v>725</v>
      </c>
      <c r="B32" s="227" t="s">
        <v>641</v>
      </c>
      <c r="C32" s="228" t="s">
        <v>269</v>
      </c>
      <c r="D32" s="228">
        <v>4</v>
      </c>
      <c r="E32" s="229">
        <v>0.57152777777777775</v>
      </c>
      <c r="F32" s="229">
        <v>0.59126157407407409</v>
      </c>
      <c r="G32" s="229">
        <v>0.69120370370370365</v>
      </c>
      <c r="H32" s="210">
        <f>F32-E32</f>
        <v>1.9733796296296346E-2</v>
      </c>
      <c r="I32" s="210">
        <f>H32-MIN(H$32:H$39)</f>
        <v>0</v>
      </c>
      <c r="J32" s="210">
        <f t="shared" si="2"/>
        <v>0.11967592592592591</v>
      </c>
      <c r="K32" s="229">
        <v>0.14583333333333334</v>
      </c>
      <c r="L32" s="229">
        <v>0.32222222222222224</v>
      </c>
      <c r="M32" s="229">
        <v>0.35362268518518519</v>
      </c>
      <c r="N32" s="229">
        <v>0.49831018518518522</v>
      </c>
      <c r="O32" s="210">
        <f t="shared" si="25"/>
        <v>3.1400462962962949E-2</v>
      </c>
      <c r="P32" s="210">
        <f>O32-MIN(O$32:O$39)</f>
        <v>0</v>
      </c>
      <c r="Q32" s="210">
        <f t="shared" si="4"/>
        <v>0.17608796296296297</v>
      </c>
      <c r="R32" s="229">
        <v>0.20833333333333334</v>
      </c>
      <c r="S32" s="230">
        <v>3</v>
      </c>
      <c r="T32" s="230">
        <v>3.5</v>
      </c>
      <c r="U32" s="230">
        <v>1.5</v>
      </c>
      <c r="V32" s="230">
        <v>2.5</v>
      </c>
      <c r="W32" s="240">
        <f t="shared" si="26"/>
        <v>14.9</v>
      </c>
      <c r="X32" s="240">
        <f t="shared" si="27"/>
        <v>15</v>
      </c>
      <c r="Y32" s="240">
        <f t="shared" si="28"/>
        <v>5</v>
      </c>
      <c r="Z32" s="240">
        <f t="shared" si="29"/>
        <v>5</v>
      </c>
      <c r="AA32" s="230">
        <v>9.8000000000000007</v>
      </c>
      <c r="AB32" s="230">
        <v>8</v>
      </c>
      <c r="AC32" s="230">
        <v>4</v>
      </c>
      <c r="AD32" s="230">
        <v>4.2</v>
      </c>
      <c r="AE32" s="230">
        <v>2</v>
      </c>
      <c r="AF32" s="240">
        <f t="shared" si="30"/>
        <v>6.5</v>
      </c>
      <c r="AG32" s="230">
        <v>3.4</v>
      </c>
      <c r="AH32" s="230">
        <v>2</v>
      </c>
      <c r="AI32" s="230">
        <v>5.8</v>
      </c>
      <c r="AJ32" s="240">
        <f t="shared" si="8"/>
        <v>4</v>
      </c>
      <c r="AK32" s="230">
        <v>3</v>
      </c>
      <c r="AL32" s="230">
        <v>5</v>
      </c>
      <c r="AM32" s="240">
        <f t="shared" si="0"/>
        <v>97.600000000000009</v>
      </c>
      <c r="AN32" s="266">
        <f>RANK(AM32,$AM$32:$AM$35)</f>
        <v>1</v>
      </c>
      <c r="AO32" s="227"/>
      <c r="AP32" s="266">
        <f>RANK(I32,$I$32:$I$35,1)</f>
        <v>1</v>
      </c>
      <c r="AQ32" s="149">
        <v>13.25</v>
      </c>
      <c r="AR32" s="149">
        <v>7.4</v>
      </c>
      <c r="AS32" s="149">
        <v>13.65</v>
      </c>
      <c r="AT32" s="149">
        <v>14.05</v>
      </c>
      <c r="AW32" s="198">
        <v>7.4</v>
      </c>
      <c r="AX32" s="198">
        <v>13.35</v>
      </c>
      <c r="AY32" s="198">
        <v>13.45</v>
      </c>
      <c r="AZ32" s="198">
        <v>13.55</v>
      </c>
      <c r="BB32" s="199">
        <f t="shared" si="18"/>
        <v>11.9375</v>
      </c>
      <c r="BC32" s="200">
        <v>12</v>
      </c>
      <c r="BD32" s="200">
        <f t="shared" si="19"/>
        <v>-6.25E-2</v>
      </c>
      <c r="BE32" s="149">
        <v>12.75</v>
      </c>
      <c r="BF32" s="149">
        <v>7.6</v>
      </c>
      <c r="BG32" s="149">
        <v>13.85</v>
      </c>
      <c r="BH32" s="149">
        <v>13.2</v>
      </c>
      <c r="BJ32" s="199">
        <f t="shared" si="31"/>
        <v>11.850000000000001</v>
      </c>
      <c r="BK32" s="149">
        <v>7.2</v>
      </c>
      <c r="BL32" s="149">
        <v>13.6</v>
      </c>
      <c r="BM32" s="149">
        <v>12.6</v>
      </c>
      <c r="BN32" s="149">
        <v>12.6</v>
      </c>
      <c r="BP32" s="199">
        <f t="shared" si="33"/>
        <v>11.5</v>
      </c>
      <c r="BQ32" s="160">
        <v>11</v>
      </c>
      <c r="BR32" s="200">
        <f t="shared" si="32"/>
        <v>0</v>
      </c>
    </row>
    <row r="33" spans="1:70">
      <c r="A33" s="218" t="s">
        <v>725</v>
      </c>
      <c r="B33" s="218" t="s">
        <v>179</v>
      </c>
      <c r="C33" s="219" t="s">
        <v>270</v>
      </c>
      <c r="D33" s="219">
        <v>4</v>
      </c>
      <c r="E33" s="220">
        <v>0.57187500000000002</v>
      </c>
      <c r="F33" s="220">
        <v>0.59504629629629624</v>
      </c>
      <c r="G33" s="220">
        <v>0.68292824074074077</v>
      </c>
      <c r="H33" s="208">
        <f t="shared" si="24"/>
        <v>2.3171296296296218E-2</v>
      </c>
      <c r="I33" s="208">
        <f t="shared" ref="I33:I38" si="34">H33-MIN(H$32:H$39)</f>
        <v>3.4374999999998712E-3</v>
      </c>
      <c r="J33" s="208">
        <f t="shared" si="2"/>
        <v>0.11105324074074074</v>
      </c>
      <c r="K33" s="220">
        <v>0.14583333333333334</v>
      </c>
      <c r="L33" s="220">
        <v>0.32256944444444446</v>
      </c>
      <c r="M33" s="220">
        <v>0.36141203703703706</v>
      </c>
      <c r="N33" s="220">
        <v>0.5047800925925926</v>
      </c>
      <c r="O33" s="208">
        <f t="shared" si="25"/>
        <v>3.8842592592592595E-2</v>
      </c>
      <c r="P33" s="208">
        <f t="shared" ref="P33:P39" si="35">O33-MIN(O$32:O$39)</f>
        <v>7.4421296296296457E-3</v>
      </c>
      <c r="Q33" s="208">
        <f t="shared" si="4"/>
        <v>0.18221064814814814</v>
      </c>
      <c r="R33" s="220">
        <v>0.20833333333333334</v>
      </c>
      <c r="S33" s="221">
        <v>3</v>
      </c>
      <c r="T33" s="221">
        <v>3</v>
      </c>
      <c r="U33" s="221">
        <v>1</v>
      </c>
      <c r="V33" s="221">
        <v>2.5</v>
      </c>
      <c r="W33" s="238">
        <f t="shared" si="26"/>
        <v>12.5</v>
      </c>
      <c r="X33" s="238">
        <f t="shared" si="27"/>
        <v>9.6</v>
      </c>
      <c r="Y33" s="238">
        <f t="shared" si="28"/>
        <v>5</v>
      </c>
      <c r="Z33" s="238">
        <f t="shared" si="29"/>
        <v>5</v>
      </c>
      <c r="AA33" s="221">
        <v>10</v>
      </c>
      <c r="AB33" s="221">
        <v>8</v>
      </c>
      <c r="AC33" s="221">
        <v>4</v>
      </c>
      <c r="AD33" s="221">
        <v>4.2</v>
      </c>
      <c r="AE33" s="221">
        <v>2</v>
      </c>
      <c r="AF33" s="238">
        <f t="shared" si="30"/>
        <v>6</v>
      </c>
      <c r="AG33" s="221">
        <v>3.8</v>
      </c>
      <c r="AH33" s="221">
        <v>1.8</v>
      </c>
      <c r="AI33" s="221">
        <v>6</v>
      </c>
      <c r="AJ33" s="238">
        <f t="shared" si="8"/>
        <v>3.5</v>
      </c>
      <c r="AK33" s="221">
        <v>3</v>
      </c>
      <c r="AL33" s="221">
        <v>5</v>
      </c>
      <c r="AM33" s="238">
        <f t="shared" si="0"/>
        <v>89.4</v>
      </c>
      <c r="AN33" s="267">
        <f>RANK(AM33,$AM$32:$AM$35)</f>
        <v>2</v>
      </c>
      <c r="AO33" s="218"/>
      <c r="AP33" s="267">
        <f>RANK(I33,$I$32:$I$35,1)</f>
        <v>2</v>
      </c>
      <c r="AQ33" s="149">
        <v>11.8</v>
      </c>
      <c r="AR33" s="149">
        <v>13.45</v>
      </c>
      <c r="AS33" s="149">
        <v>12.5</v>
      </c>
      <c r="AT33" s="149">
        <v>14.15</v>
      </c>
      <c r="AW33" s="149">
        <v>13.5</v>
      </c>
      <c r="AX33" s="149">
        <v>12.15</v>
      </c>
      <c r="AY33" s="149">
        <v>13</v>
      </c>
      <c r="AZ33" s="149">
        <v>11.4</v>
      </c>
      <c r="BB33" s="199">
        <f t="shared" si="18"/>
        <v>12.512499999999999</v>
      </c>
      <c r="BC33" s="200">
        <v>12</v>
      </c>
      <c r="BD33" s="200">
        <f t="shared" si="19"/>
        <v>0</v>
      </c>
      <c r="BE33" s="149">
        <v>11.2</v>
      </c>
      <c r="BF33" s="149">
        <v>13.45</v>
      </c>
      <c r="BG33" s="149">
        <v>12.2</v>
      </c>
      <c r="BH33" s="149">
        <v>12.95</v>
      </c>
      <c r="BJ33" s="199">
        <f t="shared" si="31"/>
        <v>12.45</v>
      </c>
      <c r="BK33" s="149">
        <v>12.15</v>
      </c>
      <c r="BL33" s="149">
        <v>12.6</v>
      </c>
      <c r="BM33" s="149">
        <v>11</v>
      </c>
      <c r="BN33" s="149">
        <v>12.9</v>
      </c>
      <c r="BP33" s="199">
        <f t="shared" si="33"/>
        <v>12.1625</v>
      </c>
      <c r="BQ33" s="160">
        <v>11</v>
      </c>
      <c r="BR33" s="200">
        <f t="shared" si="32"/>
        <v>0</v>
      </c>
    </row>
    <row r="34" spans="1:70">
      <c r="A34" s="218" t="s">
        <v>725</v>
      </c>
      <c r="B34" s="218" t="s">
        <v>122</v>
      </c>
      <c r="C34" s="219" t="s">
        <v>271</v>
      </c>
      <c r="D34" s="219">
        <v>4</v>
      </c>
      <c r="E34" s="229">
        <v>0.57222222222222197</v>
      </c>
      <c r="F34" s="220">
        <v>0.59642361111111108</v>
      </c>
      <c r="G34" s="220">
        <v>0.69907407407407407</v>
      </c>
      <c r="H34" s="208">
        <f t="shared" si="24"/>
        <v>2.4201388888889119E-2</v>
      </c>
      <c r="I34" s="208">
        <f t="shared" si="34"/>
        <v>4.4675925925927729E-3</v>
      </c>
      <c r="J34" s="208">
        <f t="shared" si="2"/>
        <v>0.1268518518518521</v>
      </c>
      <c r="K34" s="220">
        <v>0.14583333333333334</v>
      </c>
      <c r="L34" s="220">
        <v>0.32291666666666669</v>
      </c>
      <c r="M34" s="220">
        <v>0.3900925925925926</v>
      </c>
      <c r="N34" s="220">
        <v>0.51618055555555553</v>
      </c>
      <c r="O34" s="208">
        <f t="shared" si="25"/>
        <v>6.7175925925925917E-2</v>
      </c>
      <c r="P34" s="208">
        <f t="shared" si="35"/>
        <v>3.5775462962962967E-2</v>
      </c>
      <c r="Q34" s="208">
        <f t="shared" si="4"/>
        <v>0.19326388888888885</v>
      </c>
      <c r="R34" s="220">
        <v>0.20833333333333334</v>
      </c>
      <c r="S34" s="221">
        <v>1</v>
      </c>
      <c r="T34" s="221">
        <v>0</v>
      </c>
      <c r="U34" s="221">
        <v>1</v>
      </c>
      <c r="V34" s="221">
        <v>2</v>
      </c>
      <c r="W34" s="238">
        <f t="shared" si="26"/>
        <v>11.8</v>
      </c>
      <c r="X34" s="238">
        <f t="shared" si="27"/>
        <v>0</v>
      </c>
      <c r="Y34" s="238">
        <f t="shared" si="28"/>
        <v>5</v>
      </c>
      <c r="Z34" s="238">
        <f t="shared" si="29"/>
        <v>5</v>
      </c>
      <c r="AA34" s="221">
        <v>9.1</v>
      </c>
      <c r="AB34" s="221">
        <v>8</v>
      </c>
      <c r="AC34" s="221">
        <v>4</v>
      </c>
      <c r="AD34" s="221">
        <v>4</v>
      </c>
      <c r="AE34" s="221">
        <v>0</v>
      </c>
      <c r="AF34" s="238">
        <f t="shared" si="30"/>
        <v>1</v>
      </c>
      <c r="AG34" s="221">
        <v>2.4</v>
      </c>
      <c r="AH34" s="221">
        <v>1</v>
      </c>
      <c r="AI34" s="221">
        <v>5.4</v>
      </c>
      <c r="AJ34" s="238">
        <f t="shared" si="8"/>
        <v>3</v>
      </c>
      <c r="AK34" s="221">
        <v>3</v>
      </c>
      <c r="AL34" s="221">
        <v>5</v>
      </c>
      <c r="AM34" s="238">
        <f t="shared" si="0"/>
        <v>67.699999999999989</v>
      </c>
      <c r="AN34" s="267">
        <f>RANK(AM34,$AM$32:$AM$35)</f>
        <v>3</v>
      </c>
      <c r="AO34" s="218"/>
      <c r="AP34" s="267">
        <f>RANK(I34,$I$32:$I$35,1)</f>
        <v>3</v>
      </c>
      <c r="AQ34" s="149">
        <v>12.7</v>
      </c>
      <c r="AR34" s="149">
        <v>11.45</v>
      </c>
      <c r="AS34" s="149">
        <v>12.4</v>
      </c>
      <c r="AT34" s="149">
        <v>12.35</v>
      </c>
      <c r="AW34" s="149">
        <v>12.15</v>
      </c>
      <c r="AX34" s="149">
        <v>12.65</v>
      </c>
      <c r="AY34" s="149">
        <v>12.4</v>
      </c>
      <c r="AZ34" s="149">
        <v>12</v>
      </c>
      <c r="BB34" s="199">
        <f t="shared" si="18"/>
        <v>12.3</v>
      </c>
      <c r="BC34" s="200">
        <v>12</v>
      </c>
      <c r="BD34" s="200">
        <f t="shared" si="19"/>
        <v>0</v>
      </c>
      <c r="BE34" s="149">
        <v>12.05</v>
      </c>
      <c r="BF34" s="149">
        <v>11.8</v>
      </c>
      <c r="BG34" s="149">
        <v>11.6</v>
      </c>
      <c r="BH34" s="149">
        <v>11.1</v>
      </c>
      <c r="BJ34" s="199">
        <f t="shared" si="31"/>
        <v>11.637500000000001</v>
      </c>
      <c r="BK34" s="149">
        <v>10.35</v>
      </c>
      <c r="BL34" s="149">
        <v>10.8</v>
      </c>
      <c r="BM34" s="149">
        <v>12.6</v>
      </c>
      <c r="BN34" s="149">
        <v>10</v>
      </c>
      <c r="BP34" s="199">
        <f t="shared" si="33"/>
        <v>10.9375</v>
      </c>
      <c r="BQ34" s="160">
        <v>11</v>
      </c>
      <c r="BR34" s="200">
        <f t="shared" si="32"/>
        <v>-6.25E-2</v>
      </c>
    </row>
    <row r="35" spans="1:70" ht="14.25" thickBot="1">
      <c r="A35" s="223" t="s">
        <v>725</v>
      </c>
      <c r="B35" s="223" t="s">
        <v>182</v>
      </c>
      <c r="C35" s="224" t="s">
        <v>272</v>
      </c>
      <c r="D35" s="224">
        <v>4</v>
      </c>
      <c r="E35" s="225">
        <v>0.57256944444444502</v>
      </c>
      <c r="F35" s="225">
        <v>0.60657407407407404</v>
      </c>
      <c r="G35" s="225">
        <v>0.71174768518518527</v>
      </c>
      <c r="H35" s="209">
        <f t="shared" si="24"/>
        <v>3.4004629629629024E-2</v>
      </c>
      <c r="I35" s="209">
        <f t="shared" si="34"/>
        <v>1.4270833333332678E-2</v>
      </c>
      <c r="J35" s="209">
        <f t="shared" si="2"/>
        <v>0.13917824074074026</v>
      </c>
      <c r="K35" s="225">
        <v>0.14583333333333334</v>
      </c>
      <c r="L35" s="225">
        <v>0.32326388888888885</v>
      </c>
      <c r="M35" s="225">
        <v>0.3762152777777778</v>
      </c>
      <c r="N35" s="225">
        <v>0.52047453703703705</v>
      </c>
      <c r="O35" s="209">
        <f t="shared" si="25"/>
        <v>5.2951388888888951E-2</v>
      </c>
      <c r="P35" s="209">
        <f t="shared" si="35"/>
        <v>2.1550925925926001E-2</v>
      </c>
      <c r="Q35" s="209">
        <f t="shared" si="4"/>
        <v>0.1972106481481482</v>
      </c>
      <c r="R35" s="225">
        <v>0.20833333333333334</v>
      </c>
      <c r="S35" s="226">
        <v>2</v>
      </c>
      <c r="T35" s="226">
        <v>0.5</v>
      </c>
      <c r="U35" s="226">
        <v>1</v>
      </c>
      <c r="V35" s="226">
        <v>2</v>
      </c>
      <c r="W35" s="239">
        <f t="shared" si="26"/>
        <v>4.7</v>
      </c>
      <c r="X35" s="239">
        <f t="shared" si="27"/>
        <v>0</v>
      </c>
      <c r="Y35" s="239">
        <f t="shared" si="28"/>
        <v>5</v>
      </c>
      <c r="Z35" s="239">
        <f t="shared" si="29"/>
        <v>5</v>
      </c>
      <c r="AA35" s="226">
        <v>10</v>
      </c>
      <c r="AB35" s="226">
        <v>8</v>
      </c>
      <c r="AC35" s="226">
        <v>4</v>
      </c>
      <c r="AD35" s="226">
        <v>2.9</v>
      </c>
      <c r="AE35" s="226">
        <v>2</v>
      </c>
      <c r="AF35" s="239">
        <f t="shared" si="30"/>
        <v>2.5</v>
      </c>
      <c r="AG35" s="226">
        <v>2.6</v>
      </c>
      <c r="AH35" s="226">
        <v>1.2</v>
      </c>
      <c r="AI35" s="226">
        <v>5.8</v>
      </c>
      <c r="AJ35" s="239">
        <f t="shared" si="8"/>
        <v>3</v>
      </c>
      <c r="AK35" s="226">
        <v>3</v>
      </c>
      <c r="AL35" s="226">
        <v>3.5</v>
      </c>
      <c r="AM35" s="239">
        <f t="shared" si="0"/>
        <v>63.2</v>
      </c>
      <c r="AN35" s="268">
        <f>RANK(AM35,$AM$32:$AM$35)</f>
        <v>4</v>
      </c>
      <c r="AO35" s="223"/>
      <c r="AP35" s="268">
        <f>RANK(I35,$I$32:$I$35,1)</f>
        <v>4</v>
      </c>
      <c r="AQ35" s="149">
        <v>15.9</v>
      </c>
      <c r="AR35" s="149">
        <v>13.25</v>
      </c>
      <c r="AS35" s="149">
        <v>10.050000000000001</v>
      </c>
      <c r="AT35" s="149">
        <v>15.3</v>
      </c>
      <c r="AW35" s="149">
        <v>14.75</v>
      </c>
      <c r="AX35" s="149">
        <v>12.85</v>
      </c>
      <c r="AY35" s="149">
        <v>11.25</v>
      </c>
      <c r="AZ35" s="149">
        <v>15.1</v>
      </c>
      <c r="BB35" s="199">
        <f t="shared" si="18"/>
        <v>13.487500000000001</v>
      </c>
      <c r="BC35" s="200">
        <v>12</v>
      </c>
      <c r="BD35" s="200">
        <f t="shared" si="19"/>
        <v>0</v>
      </c>
      <c r="BE35" s="149">
        <v>9</v>
      </c>
      <c r="BF35" s="149">
        <v>13.25</v>
      </c>
      <c r="BG35" s="149">
        <v>11.9</v>
      </c>
      <c r="BH35" s="149">
        <v>13.25</v>
      </c>
      <c r="BJ35" s="199">
        <f t="shared" si="31"/>
        <v>11.85</v>
      </c>
      <c r="BK35" s="149">
        <v>8.85</v>
      </c>
      <c r="BL35" s="149">
        <v>12.85</v>
      </c>
      <c r="BM35" s="149">
        <v>11.45</v>
      </c>
      <c r="BN35" s="149">
        <v>12.7</v>
      </c>
      <c r="BP35" s="199">
        <f t="shared" si="33"/>
        <v>11.462499999999999</v>
      </c>
      <c r="BQ35" s="160">
        <v>11</v>
      </c>
      <c r="BR35" s="200">
        <f t="shared" si="32"/>
        <v>0</v>
      </c>
    </row>
    <row r="36" spans="1:70">
      <c r="A36" s="227" t="s">
        <v>726</v>
      </c>
      <c r="B36" s="227" t="s">
        <v>727</v>
      </c>
      <c r="C36" s="228" t="s">
        <v>277</v>
      </c>
      <c r="D36" s="228">
        <v>5</v>
      </c>
      <c r="E36" s="229">
        <v>0.57291666666666696</v>
      </c>
      <c r="F36" s="229">
        <v>0.61703703703703705</v>
      </c>
      <c r="G36" s="229">
        <v>0.71498842592592593</v>
      </c>
      <c r="H36" s="210">
        <f t="shared" si="24"/>
        <v>4.4120370370370088E-2</v>
      </c>
      <c r="I36" s="210">
        <f t="shared" si="34"/>
        <v>2.4386574074073741E-2</v>
      </c>
      <c r="J36" s="210">
        <f t="shared" si="2"/>
        <v>0.14207175925925897</v>
      </c>
      <c r="K36" s="229">
        <v>0.14583333333333334</v>
      </c>
      <c r="L36" s="229">
        <v>0.32465277777777779</v>
      </c>
      <c r="M36" s="229">
        <v>0.38415509259259256</v>
      </c>
      <c r="N36" s="229">
        <v>0.52351851851851849</v>
      </c>
      <c r="O36" s="210">
        <f t="shared" si="25"/>
        <v>5.9502314814814772E-2</v>
      </c>
      <c r="P36" s="210">
        <f t="shared" si="35"/>
        <v>2.8101851851851822E-2</v>
      </c>
      <c r="Q36" s="210">
        <f t="shared" si="4"/>
        <v>0.1988657407407407</v>
      </c>
      <c r="R36" s="229">
        <v>0.20833333333333334</v>
      </c>
      <c r="S36" s="230">
        <v>0</v>
      </c>
      <c r="T36" s="230">
        <v>0</v>
      </c>
      <c r="U36" s="230">
        <v>0.5</v>
      </c>
      <c r="V36" s="230">
        <v>1.5</v>
      </c>
      <c r="W36" s="240">
        <f t="shared" si="26"/>
        <v>0</v>
      </c>
      <c r="X36" s="240">
        <f t="shared" si="27"/>
        <v>0</v>
      </c>
      <c r="Y36" s="240">
        <f t="shared" si="28"/>
        <v>5</v>
      </c>
      <c r="Z36" s="240">
        <f t="shared" si="29"/>
        <v>5</v>
      </c>
      <c r="AA36" s="230">
        <v>6.3</v>
      </c>
      <c r="AB36" s="230">
        <v>6.1</v>
      </c>
      <c r="AC36" s="230">
        <v>2.6</v>
      </c>
      <c r="AD36" s="230">
        <v>3.5</v>
      </c>
      <c r="AE36" s="230">
        <v>2</v>
      </c>
      <c r="AF36" s="240">
        <f t="shared" si="30"/>
        <v>0</v>
      </c>
      <c r="AG36" s="230">
        <v>3.2</v>
      </c>
      <c r="AH36" s="230">
        <v>0.4</v>
      </c>
      <c r="AI36" s="230">
        <v>5.4</v>
      </c>
      <c r="AJ36" s="240">
        <f t="shared" si="8"/>
        <v>2</v>
      </c>
      <c r="AK36" s="230">
        <v>3</v>
      </c>
      <c r="AL36" s="230">
        <v>4.5</v>
      </c>
      <c r="AM36" s="240">
        <f t="shared" si="0"/>
        <v>49</v>
      </c>
      <c r="AN36" s="266">
        <f>RANK(AM36,$AM$36:$AM$39)</f>
        <v>4</v>
      </c>
      <c r="AO36" s="227"/>
      <c r="AP36" s="266">
        <f>RANK(I36,$I$36:$I$39,1)</f>
        <v>4</v>
      </c>
      <c r="AQ36" s="149">
        <v>11.95</v>
      </c>
      <c r="AR36" s="149">
        <v>11.1</v>
      </c>
      <c r="AS36" s="149">
        <v>12.35</v>
      </c>
      <c r="AT36" s="149">
        <v>12</v>
      </c>
      <c r="AU36" s="149">
        <v>14.2</v>
      </c>
      <c r="AW36" s="149">
        <v>12.05</v>
      </c>
      <c r="AX36" s="149">
        <v>11.4</v>
      </c>
      <c r="AY36" s="149">
        <v>12.2</v>
      </c>
      <c r="AZ36" s="149">
        <v>10.6</v>
      </c>
      <c r="BA36" s="149">
        <v>14.85</v>
      </c>
      <c r="BB36" s="199">
        <f t="shared" si="18"/>
        <v>11.562500000000002</v>
      </c>
      <c r="BC36" s="200">
        <v>12</v>
      </c>
      <c r="BD36" s="200">
        <f t="shared" si="19"/>
        <v>-0.43749999999999822</v>
      </c>
      <c r="BE36" s="149">
        <v>11.7</v>
      </c>
      <c r="BF36" s="149">
        <v>10.95</v>
      </c>
      <c r="BG36" s="149">
        <v>12.35</v>
      </c>
      <c r="BH36" s="149">
        <v>10.6</v>
      </c>
      <c r="BI36" s="149">
        <v>14.45</v>
      </c>
      <c r="BJ36" s="199">
        <f t="shared" si="31"/>
        <v>11.4</v>
      </c>
      <c r="BK36" s="149">
        <v>11</v>
      </c>
      <c r="BL36" s="149">
        <v>10.050000000000001</v>
      </c>
      <c r="BM36" s="149">
        <v>11.75</v>
      </c>
      <c r="BN36" s="149">
        <v>11.75</v>
      </c>
      <c r="BO36" s="149">
        <v>11.85</v>
      </c>
      <c r="BP36" s="199">
        <f>AVERAGE(BK36:BO36)</f>
        <v>11.28</v>
      </c>
      <c r="BQ36" s="160">
        <v>11</v>
      </c>
      <c r="BR36" s="200">
        <f t="shared" si="32"/>
        <v>0</v>
      </c>
    </row>
    <row r="37" spans="1:70">
      <c r="A37" s="218" t="s">
        <v>726</v>
      </c>
      <c r="B37" s="218" t="s">
        <v>179</v>
      </c>
      <c r="C37" s="219" t="s">
        <v>278</v>
      </c>
      <c r="D37" s="219">
        <v>4</v>
      </c>
      <c r="E37" s="220">
        <v>0.57326388888888902</v>
      </c>
      <c r="F37" s="220">
        <v>0.59917824074074078</v>
      </c>
      <c r="G37" s="220">
        <v>0.6947916666666667</v>
      </c>
      <c r="H37" s="208">
        <f t="shared" si="24"/>
        <v>2.5914351851851758E-2</v>
      </c>
      <c r="I37" s="208">
        <f t="shared" si="34"/>
        <v>6.1805555555554115E-3</v>
      </c>
      <c r="J37" s="208">
        <f t="shared" si="2"/>
        <v>0.12152777777777768</v>
      </c>
      <c r="K37" s="220">
        <v>0.14583333333333334</v>
      </c>
      <c r="L37" s="220">
        <v>0.32395833333333335</v>
      </c>
      <c r="M37" s="220">
        <v>0.36660879629629628</v>
      </c>
      <c r="N37" s="220">
        <v>0.53130787037037031</v>
      </c>
      <c r="O37" s="208">
        <f t="shared" si="25"/>
        <v>4.2650462962962932E-2</v>
      </c>
      <c r="P37" s="208">
        <f t="shared" si="35"/>
        <v>1.1249999999999982E-2</v>
      </c>
      <c r="Q37" s="208">
        <f t="shared" si="4"/>
        <v>0.20734953703703696</v>
      </c>
      <c r="R37" s="220">
        <v>0.20833333333333334</v>
      </c>
      <c r="S37" s="221">
        <v>1.5</v>
      </c>
      <c r="T37" s="221">
        <v>4</v>
      </c>
      <c r="U37" s="221">
        <v>1</v>
      </c>
      <c r="V37" s="221">
        <v>2.5</v>
      </c>
      <c r="W37" s="238">
        <f t="shared" si="26"/>
        <v>10.6</v>
      </c>
      <c r="X37" s="238">
        <f t="shared" si="27"/>
        <v>6.9</v>
      </c>
      <c r="Y37" s="238">
        <f t="shared" si="28"/>
        <v>5</v>
      </c>
      <c r="Z37" s="238">
        <f t="shared" si="29"/>
        <v>5</v>
      </c>
      <c r="AA37" s="221">
        <v>10</v>
      </c>
      <c r="AB37" s="221">
        <v>7.8</v>
      </c>
      <c r="AC37" s="221">
        <v>4</v>
      </c>
      <c r="AD37" s="221">
        <v>2.2999999999999998</v>
      </c>
      <c r="AE37" s="221">
        <v>1.4</v>
      </c>
      <c r="AF37" s="238">
        <f t="shared" si="30"/>
        <v>5.5</v>
      </c>
      <c r="AG37" s="221">
        <v>2.8</v>
      </c>
      <c r="AH37" s="221">
        <v>0.8</v>
      </c>
      <c r="AI37" s="221">
        <v>5.6</v>
      </c>
      <c r="AJ37" s="238">
        <f t="shared" si="8"/>
        <v>3.5</v>
      </c>
      <c r="AK37" s="221">
        <v>3</v>
      </c>
      <c r="AL37" s="221">
        <v>5</v>
      </c>
      <c r="AM37" s="238">
        <f t="shared" si="0"/>
        <v>79.199999999999989</v>
      </c>
      <c r="AN37" s="267">
        <f>RANK(AM37,$AM$36:$AM$39)</f>
        <v>1</v>
      </c>
      <c r="AO37" s="218"/>
      <c r="AP37" s="267">
        <f>RANK(I37,$I$36:$I$39,1)</f>
        <v>2</v>
      </c>
      <c r="AQ37" s="149">
        <v>12.6</v>
      </c>
      <c r="AR37" s="149">
        <v>12.55</v>
      </c>
      <c r="AS37" s="149">
        <v>11.95</v>
      </c>
      <c r="AT37" s="149">
        <v>12.65</v>
      </c>
      <c r="AW37" s="149">
        <v>12.15</v>
      </c>
      <c r="AX37" s="149">
        <v>12.55</v>
      </c>
      <c r="AY37" s="149">
        <v>11.85</v>
      </c>
      <c r="AZ37" s="149">
        <v>12.4</v>
      </c>
      <c r="BB37" s="199">
        <f t="shared" si="18"/>
        <v>12.237500000000001</v>
      </c>
      <c r="BC37" s="200">
        <v>12</v>
      </c>
      <c r="BD37" s="200">
        <f t="shared" si="19"/>
        <v>0</v>
      </c>
      <c r="BE37" s="149">
        <v>12.05</v>
      </c>
      <c r="BF37" s="149">
        <v>12.15</v>
      </c>
      <c r="BG37" s="149">
        <v>11.85</v>
      </c>
      <c r="BH37" s="149">
        <v>11.7</v>
      </c>
      <c r="BJ37" s="199">
        <f t="shared" si="31"/>
        <v>11.9375</v>
      </c>
      <c r="BK37" s="149">
        <v>11.1</v>
      </c>
      <c r="BL37" s="149">
        <v>12.05</v>
      </c>
      <c r="BM37" s="149">
        <v>11.65</v>
      </c>
      <c r="BN37" s="149">
        <v>11.25</v>
      </c>
      <c r="BP37" s="199">
        <f t="shared" si="33"/>
        <v>11.512499999999999</v>
      </c>
      <c r="BQ37" s="160">
        <v>11</v>
      </c>
      <c r="BR37" s="200">
        <f t="shared" si="32"/>
        <v>0</v>
      </c>
    </row>
    <row r="38" spans="1:70">
      <c r="A38" s="218" t="s">
        <v>726</v>
      </c>
      <c r="B38" s="218" t="s">
        <v>728</v>
      </c>
      <c r="C38" s="219" t="s">
        <v>279</v>
      </c>
      <c r="D38" s="219">
        <v>3</v>
      </c>
      <c r="E38" s="229">
        <v>0.57361111111111096</v>
      </c>
      <c r="F38" s="220">
        <v>0.60849537037037038</v>
      </c>
      <c r="G38" s="220">
        <v>0.71209490740740744</v>
      </c>
      <c r="H38" s="208">
        <f t="shared" si="24"/>
        <v>3.488425925925942E-2</v>
      </c>
      <c r="I38" s="208">
        <f t="shared" si="34"/>
        <v>1.5150462962963074E-2</v>
      </c>
      <c r="J38" s="208">
        <f t="shared" si="2"/>
        <v>0.13848379629629648</v>
      </c>
      <c r="K38" s="220">
        <v>0.14583333333333334</v>
      </c>
      <c r="L38" s="220">
        <v>0.32430555555555557</v>
      </c>
      <c r="M38" s="220">
        <v>0.37238425925925928</v>
      </c>
      <c r="N38" s="220">
        <v>0.52028935185185188</v>
      </c>
      <c r="O38" s="208">
        <f t="shared" si="25"/>
        <v>4.8078703703703707E-2</v>
      </c>
      <c r="P38" s="208">
        <f t="shared" si="35"/>
        <v>1.6678240740740757E-2</v>
      </c>
      <c r="Q38" s="208">
        <f t="shared" si="4"/>
        <v>0.19598379629629631</v>
      </c>
      <c r="R38" s="220">
        <v>0.20833333333333334</v>
      </c>
      <c r="S38" s="221">
        <v>3</v>
      </c>
      <c r="T38" s="221">
        <v>3</v>
      </c>
      <c r="U38" s="221">
        <v>1</v>
      </c>
      <c r="V38" s="221">
        <v>2</v>
      </c>
      <c r="W38" s="238">
        <f>ROUND(MAX(W$2-I38*60*24*0.5+BD38,0),1)</f>
        <v>4</v>
      </c>
      <c r="X38" s="238">
        <f t="shared" si="27"/>
        <v>3</v>
      </c>
      <c r="Y38" s="238">
        <f t="shared" si="28"/>
        <v>5</v>
      </c>
      <c r="Z38" s="238">
        <f t="shared" si="29"/>
        <v>5</v>
      </c>
      <c r="AA38" s="221">
        <v>9</v>
      </c>
      <c r="AB38" s="221">
        <v>8</v>
      </c>
      <c r="AC38" s="221">
        <v>4</v>
      </c>
      <c r="AD38" s="221">
        <v>2.4</v>
      </c>
      <c r="AE38" s="221">
        <v>1.8</v>
      </c>
      <c r="AF38" s="238">
        <f t="shared" si="30"/>
        <v>6</v>
      </c>
      <c r="AG38" s="221">
        <v>3</v>
      </c>
      <c r="AH38" s="221">
        <v>1.2</v>
      </c>
      <c r="AI38" s="221">
        <v>5.8</v>
      </c>
      <c r="AJ38" s="238">
        <f t="shared" si="8"/>
        <v>3</v>
      </c>
      <c r="AK38" s="221">
        <v>3</v>
      </c>
      <c r="AL38" s="221">
        <v>4.5</v>
      </c>
      <c r="AM38" s="238">
        <f t="shared" si="0"/>
        <v>68.699999999999989</v>
      </c>
      <c r="AN38" s="267">
        <f>RANK(AM38,$AM$36:$AM$39)</f>
        <v>3</v>
      </c>
      <c r="AO38" s="218"/>
      <c r="AP38" s="267">
        <f>RANK(I38,$I$36:$I$39,1)</f>
        <v>3</v>
      </c>
      <c r="AQ38" s="149">
        <v>13.15</v>
      </c>
      <c r="AR38" s="149">
        <v>12.2</v>
      </c>
      <c r="AS38" s="149">
        <v>12.05</v>
      </c>
      <c r="AW38" s="198">
        <v>12.1</v>
      </c>
      <c r="AX38" s="198">
        <v>11.8</v>
      </c>
      <c r="AY38" s="198">
        <v>11.75</v>
      </c>
      <c r="BB38" s="199">
        <f t="shared" si="18"/>
        <v>11.883333333333333</v>
      </c>
      <c r="BC38" s="200">
        <v>12</v>
      </c>
      <c r="BD38" s="200">
        <f t="shared" si="19"/>
        <v>-0.11666666666666714</v>
      </c>
      <c r="BE38" s="149">
        <v>11.5</v>
      </c>
      <c r="BF38" s="149">
        <v>12.35</v>
      </c>
      <c r="BG38" s="149">
        <v>11.75</v>
      </c>
      <c r="BJ38" s="199">
        <f t="shared" si="31"/>
        <v>11.866666666666667</v>
      </c>
      <c r="BK38" s="149">
        <v>11.1</v>
      </c>
      <c r="BL38" s="149">
        <v>11.65</v>
      </c>
      <c r="BM38" s="149">
        <v>11.4</v>
      </c>
      <c r="BP38" s="199">
        <f t="shared" si="33"/>
        <v>11.383333333333333</v>
      </c>
      <c r="BQ38" s="160">
        <v>11</v>
      </c>
      <c r="BR38" s="200">
        <f t="shared" si="32"/>
        <v>0</v>
      </c>
    </row>
    <row r="39" spans="1:70">
      <c r="A39" s="218" t="s">
        <v>726</v>
      </c>
      <c r="B39" s="218" t="s">
        <v>729</v>
      </c>
      <c r="C39" s="219" t="s">
        <v>634</v>
      </c>
      <c r="D39" s="219">
        <v>5</v>
      </c>
      <c r="E39" s="220">
        <v>0.57395833333333401</v>
      </c>
      <c r="F39" s="220">
        <v>0.59931712962962969</v>
      </c>
      <c r="G39" s="220">
        <v>0.70599537037037041</v>
      </c>
      <c r="H39" s="208">
        <f t="shared" si="24"/>
        <v>2.5358796296295671E-2</v>
      </c>
      <c r="I39" s="208">
        <f>H39-MIN(H$32:H$39)</f>
        <v>5.624999999999325E-3</v>
      </c>
      <c r="J39" s="208">
        <f t="shared" si="2"/>
        <v>0.1320370370370364</v>
      </c>
      <c r="K39" s="220">
        <v>0.14583333333333334</v>
      </c>
      <c r="L39" s="220">
        <v>0.32361111111111113</v>
      </c>
      <c r="M39" s="220">
        <v>0.36949074074074079</v>
      </c>
      <c r="N39" s="220">
        <v>0.52351851851851849</v>
      </c>
      <c r="O39" s="208">
        <f t="shared" si="25"/>
        <v>4.5879629629629659E-2</v>
      </c>
      <c r="P39" s="208">
        <f t="shared" si="35"/>
        <v>1.447916666666671E-2</v>
      </c>
      <c r="Q39" s="208">
        <f t="shared" si="4"/>
        <v>0.19990740740740737</v>
      </c>
      <c r="R39" s="220">
        <v>0.20833333333333334</v>
      </c>
      <c r="S39" s="221">
        <v>1</v>
      </c>
      <c r="T39" s="221">
        <v>1</v>
      </c>
      <c r="U39" s="221">
        <v>1</v>
      </c>
      <c r="V39" s="221">
        <v>1</v>
      </c>
      <c r="W39" s="238">
        <f t="shared" si="26"/>
        <v>11</v>
      </c>
      <c r="X39" s="238">
        <f t="shared" si="27"/>
        <v>4.5999999999999996</v>
      </c>
      <c r="Y39" s="238">
        <f t="shared" si="28"/>
        <v>5</v>
      </c>
      <c r="Z39" s="238">
        <f t="shared" si="29"/>
        <v>5</v>
      </c>
      <c r="AA39" s="221">
        <v>8</v>
      </c>
      <c r="AB39" s="221">
        <v>7.1</v>
      </c>
      <c r="AC39" s="221">
        <v>3.2</v>
      </c>
      <c r="AD39" s="221">
        <v>2</v>
      </c>
      <c r="AE39" s="221">
        <v>2</v>
      </c>
      <c r="AF39" s="238">
        <f t="shared" si="30"/>
        <v>2</v>
      </c>
      <c r="AG39" s="221">
        <v>3.4</v>
      </c>
      <c r="AH39" s="221">
        <v>0.8</v>
      </c>
      <c r="AI39" s="221">
        <v>4.8</v>
      </c>
      <c r="AJ39" s="238">
        <f>SUM(U39:V39)</f>
        <v>2</v>
      </c>
      <c r="AK39" s="221">
        <v>3</v>
      </c>
      <c r="AL39" s="221">
        <v>5</v>
      </c>
      <c r="AM39" s="238">
        <f t="shared" si="0"/>
        <v>68.900000000000006</v>
      </c>
      <c r="AN39" s="267">
        <f>RANK(AM39,$AM$36:$AM$39)</f>
        <v>2</v>
      </c>
      <c r="AO39" s="218"/>
      <c r="AP39" s="267">
        <f>RANK(I39,$I$36:$I$39,1)</f>
        <v>1</v>
      </c>
      <c r="AQ39" s="149">
        <v>11.75</v>
      </c>
      <c r="AR39" s="149">
        <v>14.85</v>
      </c>
      <c r="AS39" s="149">
        <v>12.85</v>
      </c>
      <c r="AT39" s="149">
        <v>14.45</v>
      </c>
      <c r="AU39" s="149">
        <v>12.5</v>
      </c>
      <c r="AW39" s="149">
        <v>14.05</v>
      </c>
      <c r="AX39" s="149">
        <v>12.95</v>
      </c>
      <c r="AY39" s="149">
        <v>12.35</v>
      </c>
      <c r="AZ39" s="149">
        <v>11.5</v>
      </c>
      <c r="BA39" s="149">
        <v>14.1</v>
      </c>
      <c r="BB39" s="199">
        <f t="shared" si="18"/>
        <v>12.7125</v>
      </c>
      <c r="BC39" s="200">
        <v>12</v>
      </c>
      <c r="BD39" s="200">
        <f t="shared" si="19"/>
        <v>0</v>
      </c>
      <c r="BE39" s="198">
        <v>12.95</v>
      </c>
      <c r="BF39" s="198">
        <v>12.3</v>
      </c>
      <c r="BG39" s="198">
        <v>11.3</v>
      </c>
      <c r="BH39" s="198">
        <v>10.7</v>
      </c>
      <c r="BI39" s="198">
        <v>12.15</v>
      </c>
      <c r="BJ39" s="199">
        <f t="shared" si="31"/>
        <v>11.8125</v>
      </c>
      <c r="BK39" s="149">
        <v>11.95</v>
      </c>
      <c r="BL39" s="149">
        <v>11.8</v>
      </c>
      <c r="BM39" s="149">
        <v>12.35</v>
      </c>
      <c r="BN39" s="149">
        <v>11.15</v>
      </c>
      <c r="BO39" s="149">
        <v>10.3</v>
      </c>
      <c r="BP39" s="199">
        <f>AVERAGE(BK39:BO39)</f>
        <v>11.51</v>
      </c>
      <c r="BQ39" s="160">
        <v>11</v>
      </c>
      <c r="BR39" s="200">
        <f t="shared" si="32"/>
        <v>0</v>
      </c>
    </row>
    <row r="40" spans="1:70">
      <c r="A40" s="218"/>
      <c r="B40" s="218"/>
      <c r="C40" s="219"/>
      <c r="D40" s="219"/>
      <c r="E40" s="220"/>
      <c r="F40" s="220"/>
      <c r="G40" s="220"/>
      <c r="H40" s="208"/>
      <c r="I40" s="208"/>
      <c r="J40" s="208"/>
      <c r="K40" s="220"/>
      <c r="L40" s="220"/>
      <c r="M40" s="220"/>
      <c r="N40" s="220"/>
      <c r="O40" s="208"/>
      <c r="P40" s="208"/>
      <c r="Q40" s="208"/>
      <c r="R40" s="220"/>
      <c r="S40" s="221"/>
      <c r="T40" s="221"/>
      <c r="U40" s="221"/>
      <c r="V40" s="221"/>
      <c r="W40" s="238"/>
      <c r="X40" s="238"/>
      <c r="Y40" s="238"/>
      <c r="Z40" s="238"/>
      <c r="AA40" s="221"/>
      <c r="AB40" s="221"/>
      <c r="AC40" s="221"/>
      <c r="AD40" s="221"/>
      <c r="AE40" s="221"/>
      <c r="AF40" s="238"/>
      <c r="AG40" s="221"/>
      <c r="AH40" s="221"/>
      <c r="AI40" s="221"/>
      <c r="AJ40" s="238"/>
      <c r="AK40" s="221"/>
      <c r="AL40" s="221"/>
      <c r="AM40" s="238"/>
      <c r="AN40" s="243"/>
      <c r="AO40" s="218"/>
      <c r="AP40" s="243"/>
      <c r="BB40" s="199"/>
    </row>
    <row r="41" spans="1:70">
      <c r="A41" s="218"/>
      <c r="B41" s="218"/>
      <c r="C41" s="219"/>
      <c r="D41" s="219"/>
      <c r="E41" s="220"/>
      <c r="F41" s="220"/>
      <c r="G41" s="220"/>
      <c r="H41" s="208"/>
      <c r="I41" s="208"/>
      <c r="J41" s="208"/>
      <c r="K41" s="220"/>
      <c r="L41" s="220"/>
      <c r="M41" s="220"/>
      <c r="N41" s="220"/>
      <c r="O41" s="208"/>
      <c r="P41" s="208"/>
      <c r="Q41" s="208"/>
      <c r="R41" s="220"/>
      <c r="S41" s="221"/>
      <c r="T41" s="221"/>
      <c r="U41" s="221"/>
      <c r="V41" s="221"/>
      <c r="W41" s="238"/>
      <c r="X41" s="238"/>
      <c r="Y41" s="238"/>
      <c r="Z41" s="238"/>
      <c r="AA41" s="221"/>
      <c r="AB41" s="221"/>
      <c r="AC41" s="221"/>
      <c r="AD41" s="221"/>
      <c r="AE41" s="221"/>
      <c r="AF41" s="238"/>
      <c r="AG41" s="221"/>
      <c r="AH41" s="221"/>
      <c r="AI41" s="221"/>
      <c r="AJ41" s="238"/>
      <c r="AK41" s="221"/>
      <c r="AL41" s="221"/>
      <c r="AM41" s="238"/>
      <c r="AN41" s="243"/>
      <c r="AO41" s="218"/>
      <c r="AP41" s="243"/>
    </row>
    <row r="42" spans="1:70">
      <c r="B42" s="81" t="s">
        <v>698</v>
      </c>
    </row>
    <row r="43" spans="1:70">
      <c r="B43" s="81" t="s">
        <v>694</v>
      </c>
      <c r="E43" s="191"/>
      <c r="F43" s="191"/>
      <c r="I43" s="192"/>
      <c r="J43" s="192"/>
      <c r="N43" s="193"/>
      <c r="O43" s="193"/>
      <c r="P43" s="193"/>
      <c r="Q43" s="193"/>
      <c r="R43" s="193"/>
      <c r="S43" s="193"/>
      <c r="T43" s="193"/>
      <c r="V43" s="198"/>
      <c r="W43" s="193">
        <f t="shared" ref="W43:AM43" si="36">MAX(W3:W41)</f>
        <v>15</v>
      </c>
      <c r="X43" s="193">
        <f t="shared" si="36"/>
        <v>15</v>
      </c>
      <c r="Y43" s="193">
        <f t="shared" si="36"/>
        <v>5</v>
      </c>
      <c r="Z43" s="193">
        <f t="shared" si="36"/>
        <v>5</v>
      </c>
      <c r="AA43" s="193">
        <f t="shared" si="36"/>
        <v>10</v>
      </c>
      <c r="AB43" s="193">
        <f t="shared" si="36"/>
        <v>8</v>
      </c>
      <c r="AC43" s="193">
        <f t="shared" si="36"/>
        <v>4</v>
      </c>
      <c r="AD43" s="193">
        <f t="shared" si="36"/>
        <v>5</v>
      </c>
      <c r="AE43" s="193">
        <f t="shared" si="36"/>
        <v>2</v>
      </c>
      <c r="AF43" s="193">
        <f t="shared" si="36"/>
        <v>7</v>
      </c>
      <c r="AG43" s="193">
        <f t="shared" si="36"/>
        <v>4</v>
      </c>
      <c r="AH43" s="193">
        <f t="shared" si="36"/>
        <v>2</v>
      </c>
      <c r="AI43" s="193">
        <f t="shared" si="36"/>
        <v>6</v>
      </c>
      <c r="AJ43" s="193">
        <f t="shared" si="36"/>
        <v>4</v>
      </c>
      <c r="AK43" s="193">
        <f t="shared" si="36"/>
        <v>3</v>
      </c>
      <c r="AL43" s="193">
        <f t="shared" si="36"/>
        <v>5</v>
      </c>
      <c r="AM43" s="193">
        <f t="shared" si="36"/>
        <v>99.5</v>
      </c>
    </row>
    <row r="44" spans="1:70">
      <c r="B44" s="81" t="s">
        <v>695</v>
      </c>
      <c r="E44" s="191"/>
      <c r="F44" s="191"/>
      <c r="I44" s="192"/>
      <c r="J44" s="192"/>
      <c r="N44" s="193"/>
      <c r="O44" s="193"/>
      <c r="P44" s="193"/>
      <c r="Q44" s="193"/>
      <c r="R44" s="193"/>
      <c r="S44" s="193"/>
      <c r="T44" s="193"/>
      <c r="V44" s="198"/>
      <c r="W44" s="193">
        <f t="shared" ref="W44:AM44" si="37">MIN(W3:W41)</f>
        <v>0</v>
      </c>
      <c r="X44" s="193">
        <f t="shared" si="37"/>
        <v>0</v>
      </c>
      <c r="Y44" s="193">
        <f t="shared" si="37"/>
        <v>0.4</v>
      </c>
      <c r="Z44" s="193">
        <f t="shared" si="37"/>
        <v>1.1000000000000001</v>
      </c>
      <c r="AA44" s="193">
        <f t="shared" si="37"/>
        <v>3.2</v>
      </c>
      <c r="AB44" s="193">
        <f t="shared" si="37"/>
        <v>0</v>
      </c>
      <c r="AC44" s="193">
        <f t="shared" si="37"/>
        <v>0</v>
      </c>
      <c r="AD44" s="193">
        <f t="shared" si="37"/>
        <v>0</v>
      </c>
      <c r="AE44" s="193">
        <f t="shared" si="37"/>
        <v>0</v>
      </c>
      <c r="AF44" s="193">
        <f t="shared" si="37"/>
        <v>0</v>
      </c>
      <c r="AG44" s="193">
        <f t="shared" si="37"/>
        <v>1.6</v>
      </c>
      <c r="AH44" s="193">
        <f t="shared" si="37"/>
        <v>0.4</v>
      </c>
      <c r="AI44" s="193">
        <f t="shared" si="37"/>
        <v>3</v>
      </c>
      <c r="AJ44" s="193">
        <f t="shared" si="37"/>
        <v>0.5</v>
      </c>
      <c r="AK44" s="193">
        <f t="shared" si="37"/>
        <v>0.5</v>
      </c>
      <c r="AL44" s="193">
        <f t="shared" si="37"/>
        <v>2</v>
      </c>
      <c r="AM44" s="193">
        <f t="shared" si="37"/>
        <v>36.400000000000006</v>
      </c>
    </row>
    <row r="45" spans="1:70">
      <c r="B45" s="81" t="s">
        <v>696</v>
      </c>
      <c r="E45" s="191"/>
      <c r="F45" s="191"/>
      <c r="I45" s="192"/>
      <c r="J45" s="192"/>
      <c r="N45" s="193"/>
      <c r="O45" s="193"/>
      <c r="P45" s="193"/>
      <c r="Q45" s="193"/>
      <c r="R45" s="193"/>
      <c r="S45" s="193"/>
      <c r="T45" s="193"/>
      <c r="V45" s="198"/>
      <c r="W45" s="193">
        <f t="shared" ref="W45:AM45" si="38">AVERAGE(W3:W41)</f>
        <v>9.4702702702702712</v>
      </c>
      <c r="X45" s="193">
        <f t="shared" si="38"/>
        <v>6.8702702702702689</v>
      </c>
      <c r="Y45" s="193">
        <f t="shared" si="38"/>
        <v>4.7837837837837842</v>
      </c>
      <c r="Z45" s="193">
        <f t="shared" si="38"/>
        <v>4.8108108108108105</v>
      </c>
      <c r="AA45" s="193">
        <f t="shared" si="38"/>
        <v>8.3810810810810832</v>
      </c>
      <c r="AB45" s="193">
        <f t="shared" si="38"/>
        <v>6.9864864864864868</v>
      </c>
      <c r="AC45" s="193">
        <f t="shared" si="38"/>
        <v>3.6972972972972977</v>
      </c>
      <c r="AD45" s="193">
        <f t="shared" si="38"/>
        <v>2.9891891891891889</v>
      </c>
      <c r="AE45" s="193">
        <f t="shared" si="38"/>
        <v>1.7675675675675673</v>
      </c>
      <c r="AF45" s="193">
        <f t="shared" si="38"/>
        <v>3.7837837837837838</v>
      </c>
      <c r="AG45" s="193">
        <f t="shared" si="38"/>
        <v>2.9567567567567563</v>
      </c>
      <c r="AH45" s="193">
        <f t="shared" si="38"/>
        <v>1.3135135135135134</v>
      </c>
      <c r="AI45" s="193">
        <f t="shared" si="38"/>
        <v>5.3567567567567576</v>
      </c>
      <c r="AJ45" s="193">
        <f t="shared" si="38"/>
        <v>2.8216216216216217</v>
      </c>
      <c r="AK45" s="193">
        <f t="shared" si="38"/>
        <v>2.8594594594594596</v>
      </c>
      <c r="AL45" s="193">
        <f t="shared" si="38"/>
        <v>4.7513513513513512</v>
      </c>
      <c r="AM45" s="193">
        <f t="shared" si="38"/>
        <v>74.191666666666649</v>
      </c>
    </row>
    <row r="46" spans="1:70">
      <c r="B46" s="81" t="s">
        <v>697</v>
      </c>
      <c r="E46" s="191"/>
      <c r="F46" s="191"/>
      <c r="I46" s="192"/>
      <c r="J46" s="192"/>
      <c r="N46" s="193"/>
      <c r="O46" s="193"/>
      <c r="P46" s="204"/>
      <c r="Q46" s="204"/>
      <c r="R46" s="204"/>
      <c r="S46" s="204"/>
      <c r="T46" s="204"/>
      <c r="V46" s="198"/>
      <c r="W46" s="205">
        <f t="shared" ref="W46:AM46" si="39">W45/W2</f>
        <v>0.63135135135135145</v>
      </c>
      <c r="X46" s="205">
        <f t="shared" si="39"/>
        <v>0.45801801801801795</v>
      </c>
      <c r="Y46" s="205">
        <f t="shared" si="39"/>
        <v>0.95675675675675687</v>
      </c>
      <c r="Z46" s="205">
        <f t="shared" si="39"/>
        <v>0.9621621621621621</v>
      </c>
      <c r="AA46" s="205">
        <f t="shared" si="39"/>
        <v>0.83810810810810832</v>
      </c>
      <c r="AB46" s="205">
        <f t="shared" si="39"/>
        <v>0.87331081081081086</v>
      </c>
      <c r="AC46" s="205">
        <f t="shared" si="39"/>
        <v>0.92432432432432443</v>
      </c>
      <c r="AD46" s="205">
        <f t="shared" si="39"/>
        <v>0.59783783783783773</v>
      </c>
      <c r="AE46" s="205">
        <f t="shared" si="39"/>
        <v>0.88378378378378364</v>
      </c>
      <c r="AF46" s="205">
        <f t="shared" si="39"/>
        <v>0.54054054054054057</v>
      </c>
      <c r="AG46" s="205">
        <f t="shared" si="39"/>
        <v>0.73918918918918908</v>
      </c>
      <c r="AH46" s="205">
        <f t="shared" si="39"/>
        <v>0.65675675675675671</v>
      </c>
      <c r="AI46" s="205">
        <f t="shared" si="39"/>
        <v>0.89279279279279289</v>
      </c>
      <c r="AJ46" s="205">
        <f t="shared" si="39"/>
        <v>0.70540540540540542</v>
      </c>
      <c r="AK46" s="205">
        <f t="shared" si="39"/>
        <v>0.95315315315315319</v>
      </c>
      <c r="AL46" s="205">
        <f t="shared" si="39"/>
        <v>0.95027027027027022</v>
      </c>
      <c r="AM46" s="205">
        <f t="shared" si="39"/>
        <v>0.74191666666666645</v>
      </c>
    </row>
    <row r="47" spans="1:70">
      <c r="E47" s="191"/>
      <c r="F47" s="191"/>
      <c r="I47" s="192"/>
      <c r="J47" s="192"/>
      <c r="N47" s="193"/>
      <c r="O47" s="193"/>
      <c r="P47" s="193"/>
      <c r="Q47" s="193"/>
      <c r="R47" s="193"/>
      <c r="S47" s="193"/>
      <c r="T47" s="193"/>
      <c r="W47" s="194"/>
      <c r="X47" s="193"/>
      <c r="Y47" s="193"/>
      <c r="Z47" s="193"/>
      <c r="AA47" s="193"/>
      <c r="AB47" s="193"/>
      <c r="AC47" s="193"/>
    </row>
    <row r="48" spans="1:70">
      <c r="B48" s="198"/>
      <c r="E48" s="191"/>
      <c r="F48" s="191"/>
      <c r="I48" s="192"/>
      <c r="J48" s="192"/>
      <c r="N48" s="193"/>
      <c r="O48" s="193"/>
      <c r="P48" s="193"/>
      <c r="Q48" s="193"/>
      <c r="R48" s="193"/>
      <c r="S48" s="193"/>
      <c r="T48" s="193"/>
      <c r="V48" s="198"/>
      <c r="W48" s="192"/>
      <c r="X48" s="193"/>
      <c r="Y48" s="193"/>
      <c r="Z48" s="193"/>
      <c r="AA48" s="193"/>
      <c r="AB48" s="193"/>
      <c r="AC48" s="193"/>
    </row>
    <row r="52" spans="1:70">
      <c r="H52" s="160"/>
      <c r="I52" s="160"/>
      <c r="J52" s="160"/>
      <c r="O52" s="160"/>
      <c r="P52" s="160"/>
      <c r="Q52" s="160"/>
    </row>
    <row r="53" spans="1:70">
      <c r="H53" s="160"/>
      <c r="I53" s="160"/>
      <c r="J53" s="160"/>
      <c r="O53" s="160"/>
      <c r="P53" s="160"/>
      <c r="Q53" s="160"/>
    </row>
    <row r="54" spans="1:70">
      <c r="H54" s="160"/>
      <c r="I54" s="160"/>
      <c r="J54" s="160"/>
      <c r="O54" s="160"/>
      <c r="P54" s="160"/>
      <c r="Q54" s="160"/>
    </row>
    <row r="55" spans="1:70">
      <c r="H55" s="160"/>
      <c r="I55" s="160"/>
      <c r="J55" s="160"/>
      <c r="O55" s="160"/>
      <c r="P55" s="160"/>
      <c r="Q55" s="160"/>
    </row>
    <row r="56" spans="1:70" s="192" customFormat="1">
      <c r="A56" s="81"/>
      <c r="B56" s="81"/>
      <c r="C56" s="201"/>
      <c r="D56" s="201"/>
      <c r="H56" s="160"/>
      <c r="I56" s="160"/>
      <c r="J56" s="160"/>
      <c r="O56" s="160"/>
      <c r="P56" s="160"/>
      <c r="Q56" s="160"/>
      <c r="S56" s="81"/>
      <c r="T56" s="81"/>
      <c r="U56" s="81"/>
      <c r="V56" s="81"/>
      <c r="W56" s="203"/>
      <c r="X56" s="81"/>
      <c r="Y56" s="81"/>
      <c r="Z56" s="81"/>
      <c r="AA56" s="81"/>
      <c r="AB56" s="81"/>
      <c r="AC56" s="81"/>
      <c r="AD56" s="81"/>
      <c r="AE56" s="81"/>
      <c r="AF56" s="81"/>
      <c r="AG56" s="81"/>
      <c r="AH56" s="81"/>
      <c r="AI56" s="81"/>
      <c r="AJ56" s="81"/>
      <c r="AK56" s="81"/>
      <c r="AL56" s="81"/>
      <c r="AM56" s="81"/>
      <c r="AN56" s="81"/>
      <c r="AO56" s="81"/>
      <c r="AP56" s="81"/>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row>
    <row r="57" spans="1:70" s="192" customFormat="1">
      <c r="A57" s="81"/>
      <c r="B57" s="81"/>
      <c r="C57" s="201"/>
      <c r="D57" s="201"/>
      <c r="H57" s="160"/>
      <c r="I57" s="160"/>
      <c r="J57" s="160"/>
      <c r="O57" s="160"/>
      <c r="P57" s="160"/>
      <c r="Q57" s="160"/>
      <c r="S57" s="81"/>
      <c r="T57" s="81"/>
      <c r="U57" s="81"/>
      <c r="V57" s="81"/>
      <c r="W57" s="203"/>
      <c r="X57" s="81"/>
      <c r="Y57" s="81"/>
      <c r="Z57" s="81"/>
      <c r="AA57" s="81"/>
      <c r="AB57" s="81"/>
      <c r="AC57" s="81"/>
      <c r="AD57" s="81"/>
      <c r="AE57" s="81"/>
      <c r="AF57" s="81"/>
      <c r="AG57" s="81"/>
      <c r="AH57" s="81"/>
      <c r="AI57" s="81"/>
      <c r="AJ57" s="81"/>
      <c r="AK57" s="81"/>
      <c r="AL57" s="81"/>
      <c r="AM57" s="81"/>
      <c r="AN57" s="81"/>
      <c r="AO57" s="81"/>
      <c r="AP57" s="81"/>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row>
    <row r="58" spans="1:70" s="192" customFormat="1">
      <c r="A58" s="81"/>
      <c r="B58" s="81"/>
      <c r="C58" s="201"/>
      <c r="D58" s="201"/>
      <c r="H58" s="160"/>
      <c r="I58" s="160"/>
      <c r="J58" s="160"/>
      <c r="O58" s="160"/>
      <c r="P58" s="160"/>
      <c r="Q58" s="160"/>
      <c r="S58" s="81"/>
      <c r="T58" s="81"/>
      <c r="U58" s="81"/>
      <c r="V58" s="81"/>
      <c r="W58" s="203"/>
      <c r="X58" s="81"/>
      <c r="Y58" s="81"/>
      <c r="Z58" s="81"/>
      <c r="AA58" s="81"/>
      <c r="AB58" s="81"/>
      <c r="AC58" s="81"/>
      <c r="AD58" s="81"/>
      <c r="AE58" s="81"/>
      <c r="AF58" s="81"/>
      <c r="AG58" s="81"/>
      <c r="AH58" s="81"/>
      <c r="AI58" s="81"/>
      <c r="AJ58" s="81"/>
      <c r="AK58" s="81"/>
      <c r="AL58" s="81"/>
      <c r="AM58" s="81"/>
      <c r="AN58" s="81"/>
      <c r="AO58" s="81"/>
      <c r="AP58" s="81"/>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row>
    <row r="59" spans="1:70" s="192" customFormat="1">
      <c r="A59" s="81"/>
      <c r="B59" s="81"/>
      <c r="C59" s="201"/>
      <c r="D59" s="201"/>
      <c r="H59" s="160"/>
      <c r="I59" s="160"/>
      <c r="J59" s="160"/>
      <c r="O59" s="160"/>
      <c r="P59" s="160"/>
      <c r="Q59" s="160"/>
      <c r="S59" s="81"/>
      <c r="T59" s="81"/>
      <c r="U59" s="81"/>
      <c r="V59" s="81"/>
      <c r="W59" s="203"/>
      <c r="X59" s="81"/>
      <c r="Y59" s="81"/>
      <c r="Z59" s="81"/>
      <c r="AA59" s="81"/>
      <c r="AB59" s="81"/>
      <c r="AC59" s="81"/>
      <c r="AD59" s="81"/>
      <c r="AE59" s="81"/>
      <c r="AF59" s="81"/>
      <c r="AG59" s="81"/>
      <c r="AH59" s="81"/>
      <c r="AI59" s="81"/>
      <c r="AJ59" s="81"/>
      <c r="AK59" s="81"/>
      <c r="AL59" s="81"/>
      <c r="AM59" s="81"/>
      <c r="AN59" s="81"/>
      <c r="AO59" s="81"/>
      <c r="AP59" s="81"/>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row>
    <row r="60" spans="1:70" s="192" customFormat="1">
      <c r="A60" s="81"/>
      <c r="B60" s="81"/>
      <c r="C60" s="201"/>
      <c r="D60" s="201"/>
      <c r="H60" s="160"/>
      <c r="I60" s="160"/>
      <c r="J60" s="160"/>
      <c r="O60" s="160"/>
      <c r="P60" s="160"/>
      <c r="Q60" s="160"/>
      <c r="S60" s="81"/>
      <c r="T60" s="81"/>
      <c r="U60" s="81"/>
      <c r="V60" s="81"/>
      <c r="W60" s="203"/>
      <c r="X60" s="81"/>
      <c r="Y60" s="81"/>
      <c r="Z60" s="81"/>
      <c r="AA60" s="81"/>
      <c r="AB60" s="81"/>
      <c r="AC60" s="81"/>
      <c r="AD60" s="81"/>
      <c r="AE60" s="81"/>
      <c r="AF60" s="81"/>
      <c r="AG60" s="81"/>
      <c r="AH60" s="81"/>
      <c r="AI60" s="81"/>
      <c r="AJ60" s="81"/>
      <c r="AK60" s="81"/>
      <c r="AL60" s="81"/>
      <c r="AM60" s="81"/>
      <c r="AN60" s="81"/>
      <c r="AO60" s="81"/>
      <c r="AP60" s="81"/>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row>
    <row r="61" spans="1:70" s="192" customFormat="1">
      <c r="A61" s="81"/>
      <c r="B61" s="81"/>
      <c r="C61" s="201"/>
      <c r="D61" s="201"/>
      <c r="H61" s="160"/>
      <c r="I61" s="160"/>
      <c r="J61" s="160"/>
      <c r="O61" s="160"/>
      <c r="P61" s="160"/>
      <c r="Q61" s="160"/>
      <c r="S61" s="81"/>
      <c r="T61" s="81"/>
      <c r="U61" s="81"/>
      <c r="V61" s="81"/>
      <c r="W61" s="203"/>
      <c r="X61" s="81"/>
      <c r="Y61" s="81"/>
      <c r="Z61" s="81"/>
      <c r="AA61" s="81"/>
      <c r="AB61" s="81"/>
      <c r="AC61" s="81"/>
      <c r="AD61" s="81"/>
      <c r="AE61" s="81"/>
      <c r="AF61" s="81"/>
      <c r="AG61" s="81"/>
      <c r="AH61" s="81"/>
      <c r="AI61" s="81"/>
      <c r="AJ61" s="81"/>
      <c r="AK61" s="81"/>
      <c r="AL61" s="81"/>
      <c r="AM61" s="81"/>
      <c r="AN61" s="81"/>
      <c r="AO61" s="81"/>
      <c r="AP61" s="81"/>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row>
    <row r="62" spans="1:70" s="192" customFormat="1">
      <c r="A62" s="81"/>
      <c r="B62" s="81"/>
      <c r="C62" s="201"/>
      <c r="D62" s="201"/>
      <c r="H62" s="160"/>
      <c r="I62" s="160"/>
      <c r="J62" s="160"/>
      <c r="O62" s="160"/>
      <c r="P62" s="160"/>
      <c r="Q62" s="160"/>
      <c r="S62" s="81"/>
      <c r="T62" s="81"/>
      <c r="U62" s="81"/>
      <c r="V62" s="81"/>
      <c r="W62" s="203"/>
      <c r="X62" s="81"/>
      <c r="Y62" s="81"/>
      <c r="Z62" s="81"/>
      <c r="AA62" s="81"/>
      <c r="AB62" s="81"/>
      <c r="AC62" s="81"/>
      <c r="AD62" s="81"/>
      <c r="AE62" s="81"/>
      <c r="AF62" s="81"/>
      <c r="AG62" s="81"/>
      <c r="AH62" s="81"/>
      <c r="AI62" s="81"/>
      <c r="AJ62" s="81"/>
      <c r="AK62" s="81"/>
      <c r="AL62" s="81"/>
      <c r="AM62" s="81"/>
      <c r="AN62" s="81"/>
      <c r="AO62" s="81"/>
      <c r="AP62" s="81"/>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row>
    <row r="63" spans="1:70" s="192" customFormat="1">
      <c r="A63" s="81"/>
      <c r="B63" s="81"/>
      <c r="C63" s="201"/>
      <c r="D63" s="201"/>
      <c r="H63" s="160"/>
      <c r="I63" s="160"/>
      <c r="J63" s="160"/>
      <c r="O63" s="160"/>
      <c r="P63" s="160"/>
      <c r="Q63" s="160"/>
      <c r="S63" s="81"/>
      <c r="T63" s="81"/>
      <c r="U63" s="81"/>
      <c r="V63" s="81"/>
      <c r="W63" s="203"/>
      <c r="X63" s="81"/>
      <c r="Y63" s="81"/>
      <c r="Z63" s="81"/>
      <c r="AA63" s="81"/>
      <c r="AB63" s="81"/>
      <c r="AC63" s="81"/>
      <c r="AD63" s="81"/>
      <c r="AE63" s="81"/>
      <c r="AF63" s="81"/>
      <c r="AG63" s="81"/>
      <c r="AH63" s="81"/>
      <c r="AI63" s="81"/>
      <c r="AJ63" s="81"/>
      <c r="AK63" s="81"/>
      <c r="AL63" s="81"/>
      <c r="AM63" s="81"/>
      <c r="AN63" s="81"/>
      <c r="AO63" s="81"/>
      <c r="AP63" s="81"/>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row>
    <row r="64" spans="1:70" s="192" customFormat="1">
      <c r="A64" s="81"/>
      <c r="B64" s="81"/>
      <c r="C64" s="201"/>
      <c r="D64" s="201"/>
      <c r="H64" s="160"/>
      <c r="I64" s="160"/>
      <c r="J64" s="160"/>
      <c r="O64" s="160"/>
      <c r="P64" s="160"/>
      <c r="Q64" s="160"/>
      <c r="S64" s="81"/>
      <c r="T64" s="81"/>
      <c r="U64" s="81"/>
      <c r="V64" s="81"/>
      <c r="W64" s="203"/>
      <c r="X64" s="81"/>
      <c r="Y64" s="81"/>
      <c r="Z64" s="81"/>
      <c r="AA64" s="81"/>
      <c r="AB64" s="81"/>
      <c r="AC64" s="81"/>
      <c r="AD64" s="81"/>
      <c r="AE64" s="81"/>
      <c r="AF64" s="81"/>
      <c r="AG64" s="81"/>
      <c r="AH64" s="81"/>
      <c r="AI64" s="81"/>
      <c r="AJ64" s="81"/>
      <c r="AK64" s="81"/>
      <c r="AL64" s="81"/>
      <c r="AM64" s="81"/>
      <c r="AN64" s="81"/>
      <c r="AO64" s="81"/>
      <c r="AP64" s="81"/>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row>
    <row r="65" spans="1:70" s="192" customFormat="1">
      <c r="A65" s="81"/>
      <c r="B65" s="81"/>
      <c r="C65" s="201"/>
      <c r="D65" s="201"/>
      <c r="H65" s="202"/>
      <c r="I65" s="202"/>
      <c r="J65" s="202"/>
      <c r="O65" s="202"/>
      <c r="P65" s="202"/>
      <c r="Q65" s="202"/>
      <c r="S65" s="81"/>
      <c r="T65" s="81"/>
      <c r="U65" s="81"/>
      <c r="V65" s="81"/>
      <c r="W65" s="203"/>
      <c r="X65" s="81"/>
      <c r="Y65" s="81"/>
      <c r="Z65" s="81"/>
      <c r="AA65" s="81"/>
      <c r="AB65" s="81"/>
      <c r="AC65" s="81"/>
      <c r="AD65" s="81"/>
      <c r="AE65" s="81"/>
      <c r="AF65" s="81"/>
      <c r="AG65" s="81"/>
      <c r="AH65" s="81"/>
      <c r="AI65" s="81"/>
      <c r="AJ65" s="81"/>
      <c r="AK65" s="81"/>
      <c r="AL65" s="81"/>
      <c r="AM65" s="81"/>
      <c r="AN65" s="81"/>
      <c r="AO65" s="81"/>
      <c r="AP65" s="81"/>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row>
    <row r="66" spans="1:70" s="192" customFormat="1">
      <c r="A66" s="81"/>
      <c r="B66" s="81"/>
      <c r="C66" s="201"/>
      <c r="D66" s="201"/>
      <c r="H66" s="202"/>
      <c r="I66" s="202"/>
      <c r="J66" s="202"/>
      <c r="O66" s="202"/>
      <c r="P66" s="202"/>
      <c r="Q66" s="202"/>
      <c r="S66" s="81"/>
      <c r="T66" s="81"/>
      <c r="U66" s="81"/>
      <c r="V66" s="81"/>
      <c r="W66" s="203"/>
      <c r="X66" s="81"/>
      <c r="Y66" s="81"/>
      <c r="Z66" s="81"/>
      <c r="AA66" s="81"/>
      <c r="AB66" s="81"/>
      <c r="AC66" s="81"/>
      <c r="AD66" s="81"/>
      <c r="AE66" s="81"/>
      <c r="AF66" s="81"/>
      <c r="AG66" s="81"/>
      <c r="AH66" s="81"/>
      <c r="AI66" s="81"/>
      <c r="AJ66" s="81"/>
      <c r="AK66" s="81"/>
      <c r="AL66" s="81"/>
      <c r="AM66" s="81"/>
      <c r="AN66" s="81"/>
      <c r="AO66" s="81"/>
      <c r="AP66" s="81"/>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row>
    <row r="67" spans="1:70" s="192" customFormat="1">
      <c r="A67" s="81"/>
      <c r="B67" s="81"/>
      <c r="C67" s="201"/>
      <c r="D67" s="201"/>
      <c r="H67" s="202"/>
      <c r="I67" s="202"/>
      <c r="J67" s="202"/>
      <c r="O67" s="202"/>
      <c r="P67" s="202"/>
      <c r="Q67" s="202"/>
      <c r="S67" s="81"/>
      <c r="T67" s="81"/>
      <c r="U67" s="81"/>
      <c r="V67" s="81"/>
      <c r="W67" s="203"/>
      <c r="X67" s="81"/>
      <c r="Y67" s="81"/>
      <c r="Z67" s="81"/>
      <c r="AA67" s="81"/>
      <c r="AB67" s="81"/>
      <c r="AC67" s="81"/>
      <c r="AD67" s="81"/>
      <c r="AE67" s="81"/>
      <c r="AF67" s="81"/>
      <c r="AG67" s="81"/>
      <c r="AH67" s="81"/>
      <c r="AI67" s="81"/>
      <c r="AJ67" s="81"/>
      <c r="AK67" s="81"/>
      <c r="AL67" s="81"/>
      <c r="AM67" s="81"/>
      <c r="AN67" s="81"/>
      <c r="AO67" s="81"/>
      <c r="AP67" s="81"/>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row>
    <row r="68" spans="1:70" s="192" customFormat="1">
      <c r="A68" s="81"/>
      <c r="B68" s="81"/>
      <c r="C68" s="201"/>
      <c r="D68" s="201"/>
      <c r="H68" s="202"/>
      <c r="I68" s="202"/>
      <c r="J68" s="202"/>
      <c r="O68" s="202"/>
      <c r="P68" s="202"/>
      <c r="Q68" s="202"/>
      <c r="S68" s="81"/>
      <c r="T68" s="81"/>
      <c r="U68" s="81"/>
      <c r="V68" s="81"/>
      <c r="W68" s="203"/>
      <c r="X68" s="81"/>
      <c r="Y68" s="81"/>
      <c r="Z68" s="81"/>
      <c r="AA68" s="81"/>
      <c r="AB68" s="81"/>
      <c r="AC68" s="81"/>
      <c r="AD68" s="81"/>
      <c r="AE68" s="81"/>
      <c r="AF68" s="81"/>
      <c r="AG68" s="81"/>
      <c r="AH68" s="81"/>
      <c r="AI68" s="81"/>
      <c r="AJ68" s="81"/>
      <c r="AK68" s="81"/>
      <c r="AL68" s="81"/>
      <c r="AM68" s="81"/>
      <c r="AN68" s="81"/>
      <c r="AO68" s="81"/>
      <c r="AP68" s="81"/>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row>
    <row r="69" spans="1:70" s="192" customFormat="1">
      <c r="A69" s="81"/>
      <c r="B69" s="81"/>
      <c r="C69" s="201"/>
      <c r="D69" s="201"/>
      <c r="H69" s="202"/>
      <c r="I69" s="202"/>
      <c r="J69" s="202"/>
      <c r="O69" s="202"/>
      <c r="P69" s="202"/>
      <c r="Q69" s="202"/>
      <c r="S69" s="81"/>
      <c r="T69" s="81"/>
      <c r="U69" s="81"/>
      <c r="V69" s="81"/>
      <c r="W69" s="203"/>
      <c r="X69" s="81"/>
      <c r="Y69" s="81"/>
      <c r="Z69" s="81"/>
      <c r="AA69" s="81"/>
      <c r="AB69" s="81"/>
      <c r="AC69" s="81"/>
      <c r="AD69" s="81"/>
      <c r="AE69" s="81"/>
      <c r="AF69" s="81"/>
      <c r="AG69" s="81"/>
      <c r="AH69" s="81"/>
      <c r="AI69" s="81"/>
      <c r="AJ69" s="81"/>
      <c r="AK69" s="81"/>
      <c r="AL69" s="81"/>
      <c r="AM69" s="81"/>
      <c r="AN69" s="81"/>
      <c r="AO69" s="81"/>
      <c r="AP69" s="81"/>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row>
    <row r="70" spans="1:70" s="192" customFormat="1">
      <c r="A70" s="81"/>
      <c r="B70" s="81"/>
      <c r="C70" s="201"/>
      <c r="D70" s="201"/>
      <c r="H70" s="202"/>
      <c r="I70" s="202"/>
      <c r="J70" s="202"/>
      <c r="O70" s="202"/>
      <c r="P70" s="202"/>
      <c r="Q70" s="202"/>
      <c r="S70" s="81"/>
      <c r="T70" s="81"/>
      <c r="U70" s="81"/>
      <c r="V70" s="81"/>
      <c r="W70" s="203"/>
      <c r="X70" s="81"/>
      <c r="Y70" s="81"/>
      <c r="Z70" s="81"/>
      <c r="AA70" s="81"/>
      <c r="AB70" s="81"/>
      <c r="AC70" s="81"/>
      <c r="AD70" s="81"/>
      <c r="AE70" s="81"/>
      <c r="AF70" s="81"/>
      <c r="AG70" s="81"/>
      <c r="AH70" s="81"/>
      <c r="AI70" s="81"/>
      <c r="AJ70" s="81"/>
      <c r="AK70" s="81"/>
      <c r="AL70" s="81"/>
      <c r="AM70" s="81"/>
      <c r="AN70" s="81"/>
      <c r="AO70" s="81"/>
      <c r="AP70" s="81"/>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row>
  </sheetData>
  <phoneticPr fontId="3"/>
  <conditionalFormatting sqref="AV3:AV29 BB3:BB40">
    <cfRule type="cellIs" dxfId="9" priority="2" stopIfTrue="1" operator="lessThanOrEqual">
      <formula>12</formula>
    </cfRule>
  </conditionalFormatting>
  <conditionalFormatting sqref="BJ3:BJ39 BP3:BP39">
    <cfRule type="cellIs" dxfId="8" priority="1" stopIfTrue="1" operator="lessThanOrEqual">
      <formula>11</formula>
    </cfRule>
  </conditionalFormatting>
  <pageMargins left="0.23" right="0.2" top="0.98399999999999999" bottom="0.98399999999999999" header="0.51200000000000001" footer="0.51200000000000001"/>
  <pageSetup paperSize="9" scale="46"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BR66"/>
  <sheetViews>
    <sheetView view="pageBreakPreview" zoomScale="115" zoomScaleNormal="100" zoomScaleSheetLayoutView="115" workbookViewId="0">
      <pane xSplit="2" ySplit="1" topLeftCell="AB2" activePane="bottomRight" state="frozen"/>
      <selection pane="topRight" activeCell="C1" sqref="C1"/>
      <selection pane="bottomLeft" activeCell="A2" sqref="A2"/>
      <selection pane="bottomRight" activeCell="A38" sqref="A38"/>
    </sheetView>
  </sheetViews>
  <sheetFormatPr defaultRowHeight="13.5"/>
  <cols>
    <col min="1" max="1" width="3.75" style="81" bestFit="1" customWidth="1"/>
    <col min="2" max="2" width="15" style="81" bestFit="1" customWidth="1"/>
    <col min="3" max="3" width="6.625" style="201" customWidth="1"/>
    <col min="4" max="4" width="5.75" style="201" customWidth="1"/>
    <col min="5" max="6" width="8.25" style="192" customWidth="1"/>
    <col min="7" max="7" width="7.875" style="192" customWidth="1"/>
    <col min="8" max="10" width="7.5" style="202" customWidth="1"/>
    <col min="11" max="13" width="7.25" style="192" customWidth="1"/>
    <col min="14" max="14" width="8.125" style="192" customWidth="1"/>
    <col min="15" max="15" width="10" style="202" customWidth="1"/>
    <col min="16" max="16" width="7.5" style="202" customWidth="1"/>
    <col min="17" max="17" width="8.125" style="202" customWidth="1"/>
    <col min="18" max="18" width="7.25" style="192" customWidth="1"/>
    <col min="19" max="22" width="7.125" style="81" customWidth="1"/>
    <col min="23" max="23" width="7.125" style="203" customWidth="1"/>
    <col min="24" max="38" width="7.125" style="81" customWidth="1"/>
    <col min="39" max="39" width="6.75" style="81" customWidth="1"/>
    <col min="40" max="40" width="5.75" style="81" customWidth="1"/>
    <col min="41" max="41" width="19.25" style="81" customWidth="1"/>
    <col min="42" max="42" width="8.875" style="81" customWidth="1"/>
    <col min="43" max="16384" width="9" style="198"/>
  </cols>
  <sheetData>
    <row r="1" spans="1:70" s="184" customFormat="1">
      <c r="A1" s="212" t="s">
        <v>87</v>
      </c>
      <c r="B1" s="212" t="s">
        <v>88</v>
      </c>
      <c r="C1" s="213" t="s">
        <v>693</v>
      </c>
      <c r="D1" s="213" t="s">
        <v>228</v>
      </c>
      <c r="E1" s="214" t="s">
        <v>106</v>
      </c>
      <c r="F1" s="214" t="s">
        <v>107</v>
      </c>
      <c r="G1" s="214" t="s">
        <v>108</v>
      </c>
      <c r="H1" s="206" t="s">
        <v>91</v>
      </c>
      <c r="I1" s="206" t="s">
        <v>92</v>
      </c>
      <c r="J1" s="206" t="s">
        <v>239</v>
      </c>
      <c r="K1" s="214" t="s">
        <v>240</v>
      </c>
      <c r="L1" s="214" t="s">
        <v>109</v>
      </c>
      <c r="M1" s="214" t="s">
        <v>110</v>
      </c>
      <c r="N1" s="214" t="s">
        <v>111</v>
      </c>
      <c r="O1" s="206" t="s">
        <v>93</v>
      </c>
      <c r="P1" s="206" t="s">
        <v>94</v>
      </c>
      <c r="Q1" s="206" t="s">
        <v>241</v>
      </c>
      <c r="R1" s="214" t="s">
        <v>242</v>
      </c>
      <c r="S1" s="212" t="s">
        <v>594</v>
      </c>
      <c r="T1" s="212" t="s">
        <v>291</v>
      </c>
      <c r="U1" s="212" t="s">
        <v>650</v>
      </c>
      <c r="V1" s="212" t="s">
        <v>651</v>
      </c>
      <c r="W1" s="235" t="s">
        <v>95</v>
      </c>
      <c r="X1" s="236" t="s">
        <v>96</v>
      </c>
      <c r="Y1" s="236" t="s">
        <v>637</v>
      </c>
      <c r="Z1" s="236" t="s">
        <v>638</v>
      </c>
      <c r="AA1" s="212" t="s">
        <v>97</v>
      </c>
      <c r="AB1" s="212" t="s">
        <v>2</v>
      </c>
      <c r="AC1" s="212" t="s">
        <v>3</v>
      </c>
      <c r="AD1" s="212" t="s">
        <v>4</v>
      </c>
      <c r="AE1" s="212" t="s">
        <v>214</v>
      </c>
      <c r="AF1" s="236" t="s">
        <v>5</v>
      </c>
      <c r="AG1" s="212" t="s">
        <v>745</v>
      </c>
      <c r="AH1" s="212" t="s">
        <v>746</v>
      </c>
      <c r="AI1" s="212" t="s">
        <v>8</v>
      </c>
      <c r="AJ1" s="236" t="s">
        <v>9</v>
      </c>
      <c r="AK1" s="212" t="s">
        <v>10</v>
      </c>
      <c r="AL1" s="212" t="s">
        <v>11</v>
      </c>
      <c r="AM1" s="236" t="s">
        <v>12</v>
      </c>
      <c r="AN1" s="236" t="s">
        <v>98</v>
      </c>
      <c r="AO1" s="212" t="s">
        <v>105</v>
      </c>
      <c r="AP1" s="236" t="s">
        <v>190</v>
      </c>
      <c r="AQ1" s="184" t="s">
        <v>289</v>
      </c>
      <c r="AW1" s="184" t="s">
        <v>288</v>
      </c>
      <c r="BB1" s="184" t="s">
        <v>654</v>
      </c>
      <c r="BC1" s="184" t="s">
        <v>653</v>
      </c>
      <c r="BD1" s="184" t="s">
        <v>656</v>
      </c>
      <c r="BE1" s="184" t="s">
        <v>286</v>
      </c>
      <c r="BK1" s="184" t="s">
        <v>287</v>
      </c>
      <c r="BP1" s="184" t="s">
        <v>655</v>
      </c>
      <c r="BQ1" s="184" t="s">
        <v>657</v>
      </c>
      <c r="BR1" s="184" t="s">
        <v>658</v>
      </c>
    </row>
    <row r="2" spans="1:70" s="195" customFormat="1" ht="14.25" thickBot="1">
      <c r="A2" s="259"/>
      <c r="B2" s="260" t="s">
        <v>636</v>
      </c>
      <c r="C2" s="260"/>
      <c r="D2" s="260"/>
      <c r="E2" s="261"/>
      <c r="F2" s="261"/>
      <c r="G2" s="261"/>
      <c r="H2" s="262"/>
      <c r="I2" s="262"/>
      <c r="J2" s="262"/>
      <c r="K2" s="261"/>
      <c r="L2" s="261"/>
      <c r="M2" s="261"/>
      <c r="N2" s="261"/>
      <c r="O2" s="262"/>
      <c r="P2" s="262"/>
      <c r="Q2" s="262"/>
      <c r="R2" s="261"/>
      <c r="S2" s="263">
        <v>3</v>
      </c>
      <c r="T2" s="263">
        <v>4</v>
      </c>
      <c r="U2" s="263">
        <v>1</v>
      </c>
      <c r="V2" s="263">
        <v>3</v>
      </c>
      <c r="W2" s="264">
        <v>15</v>
      </c>
      <c r="X2" s="264">
        <v>15</v>
      </c>
      <c r="Y2" s="264">
        <v>5</v>
      </c>
      <c r="Z2" s="264">
        <v>5</v>
      </c>
      <c r="AA2" s="263">
        <v>10</v>
      </c>
      <c r="AB2" s="263">
        <v>8</v>
      </c>
      <c r="AC2" s="263">
        <v>4</v>
      </c>
      <c r="AD2" s="263">
        <v>5</v>
      </c>
      <c r="AE2" s="263">
        <v>2</v>
      </c>
      <c r="AF2" s="264">
        <v>7</v>
      </c>
      <c r="AG2" s="263">
        <v>4</v>
      </c>
      <c r="AH2" s="263">
        <v>2</v>
      </c>
      <c r="AI2" s="263">
        <v>6</v>
      </c>
      <c r="AJ2" s="264">
        <v>4</v>
      </c>
      <c r="AK2" s="263">
        <v>3</v>
      </c>
      <c r="AL2" s="263">
        <v>5</v>
      </c>
      <c r="AM2" s="264">
        <f t="shared" ref="AM2:AM35" si="0">SUM(W2:AL2)</f>
        <v>100</v>
      </c>
      <c r="AN2" s="265"/>
      <c r="AO2" s="259"/>
      <c r="AP2" s="265"/>
      <c r="AQ2" s="195">
        <v>1</v>
      </c>
      <c r="AR2" s="195">
        <v>2</v>
      </c>
      <c r="AS2" s="195">
        <v>3</v>
      </c>
      <c r="AT2" s="195">
        <v>4</v>
      </c>
      <c r="AU2" s="195">
        <v>5</v>
      </c>
      <c r="AV2" s="195" t="s">
        <v>613</v>
      </c>
      <c r="AW2" s="195">
        <v>1</v>
      </c>
      <c r="AX2" s="195">
        <v>2</v>
      </c>
      <c r="AY2" s="195">
        <v>3</v>
      </c>
      <c r="AZ2" s="195">
        <v>4</v>
      </c>
      <c r="BA2" s="195">
        <v>5</v>
      </c>
      <c r="BB2" s="195" t="s">
        <v>613</v>
      </c>
      <c r="BE2" s="195">
        <v>1</v>
      </c>
      <c r="BF2" s="195">
        <v>2</v>
      </c>
      <c r="BG2" s="195">
        <v>3</v>
      </c>
      <c r="BH2" s="195">
        <v>4</v>
      </c>
      <c r="BI2" s="195">
        <v>5</v>
      </c>
      <c r="BJ2" s="195" t="s">
        <v>613</v>
      </c>
      <c r="BK2" s="195">
        <v>1</v>
      </c>
      <c r="BL2" s="195">
        <v>2</v>
      </c>
      <c r="BM2" s="195">
        <v>3</v>
      </c>
      <c r="BN2" s="195">
        <v>4</v>
      </c>
      <c r="BO2" s="195">
        <v>5</v>
      </c>
      <c r="BP2" s="195" t="s">
        <v>613</v>
      </c>
    </row>
    <row r="3" spans="1:70">
      <c r="A3" s="227" t="s">
        <v>99</v>
      </c>
      <c r="B3" s="218" t="s">
        <v>641</v>
      </c>
      <c r="C3" s="228" t="s">
        <v>280</v>
      </c>
      <c r="D3" s="228">
        <v>4</v>
      </c>
      <c r="E3" s="229">
        <v>0.55555555555555558</v>
      </c>
      <c r="F3" s="229">
        <v>0.57822916666666668</v>
      </c>
      <c r="G3" s="229">
        <v>0.64218750000000002</v>
      </c>
      <c r="H3" s="210">
        <f t="shared" ref="H3:H23" si="1">F3-E3</f>
        <v>2.2673611111111103E-2</v>
      </c>
      <c r="I3" s="210">
        <f t="shared" ref="I3:I27" si="2">H3-MIN(H$3:H$27)</f>
        <v>6.7592592592592426E-3</v>
      </c>
      <c r="J3" s="210">
        <f t="shared" ref="J3:J35" si="3">G3-E3</f>
        <v>8.6631944444444442E-2</v>
      </c>
      <c r="K3" s="229">
        <v>0.10416666666666667</v>
      </c>
      <c r="L3" s="229">
        <v>0.33958333333333302</v>
      </c>
      <c r="M3" s="229">
        <v>0.36769675925925926</v>
      </c>
      <c r="N3" s="229">
        <v>0.46491898148148153</v>
      </c>
      <c r="O3" s="210">
        <f t="shared" ref="O3:O23" si="4">M3-L3</f>
        <v>2.811342592592625E-2</v>
      </c>
      <c r="P3" s="210">
        <f t="shared" ref="P3:P27" si="5">O3-MIN(O$3:O$27)</f>
        <v>8.3680555555558644E-3</v>
      </c>
      <c r="Q3" s="210">
        <f t="shared" ref="Q3:Q35" si="6">N3-L3</f>
        <v>0.12533564814814852</v>
      </c>
      <c r="R3" s="229">
        <v>0.1388888888888889</v>
      </c>
      <c r="S3" s="230">
        <v>3</v>
      </c>
      <c r="T3" s="230">
        <v>3</v>
      </c>
      <c r="U3" s="230">
        <v>1</v>
      </c>
      <c r="V3" s="230">
        <v>1</v>
      </c>
      <c r="W3" s="240">
        <f>ROUND(MAX(W$2-I3*60*24*0.5+BD3,0),1)</f>
        <v>10.1</v>
      </c>
      <c r="X3" s="240">
        <f>ROUND(MAX(X$2-P3*60*24*0.5+BR3,0),1)</f>
        <v>9</v>
      </c>
      <c r="Y3" s="240">
        <f t="shared" ref="Y3:Y35" si="7">ROUND(MAX(MIN(Y$2+(K3-J3)*60*24*0.2,$Y$2),0),1)</f>
        <v>5</v>
      </c>
      <c r="Z3" s="240">
        <f t="shared" ref="Z3:Z35" si="8">ROUND(MAX(MIN($Z$2+(R3-Q3)*60*24*0.2,$Z$2),0),1)</f>
        <v>5</v>
      </c>
      <c r="AA3" s="230">
        <v>9.6</v>
      </c>
      <c r="AB3" s="230">
        <v>8</v>
      </c>
      <c r="AC3" s="230">
        <v>4</v>
      </c>
      <c r="AD3" s="230">
        <v>3.8</v>
      </c>
      <c r="AE3" s="230">
        <v>1.6</v>
      </c>
      <c r="AF3" s="240">
        <f t="shared" ref="AF3:AF23" si="9">SUM(S3:T3)</f>
        <v>6</v>
      </c>
      <c r="AG3" s="230">
        <v>3.4</v>
      </c>
      <c r="AH3" s="230">
        <v>1.4</v>
      </c>
      <c r="AI3" s="230">
        <v>5.8</v>
      </c>
      <c r="AJ3" s="240">
        <f t="shared" ref="AJ3:AJ34" si="10">SUM(U3:V3)</f>
        <v>2</v>
      </c>
      <c r="AK3" s="230">
        <v>3</v>
      </c>
      <c r="AL3" s="230">
        <v>5</v>
      </c>
      <c r="AM3" s="240">
        <f t="shared" si="0"/>
        <v>82.7</v>
      </c>
      <c r="AN3" s="245">
        <f t="shared" ref="AN3:AN8" si="11">RANK(AM3,$AM$3:$AM$8)</f>
        <v>5</v>
      </c>
      <c r="AO3" s="227"/>
      <c r="AP3" s="245">
        <f t="shared" ref="AP3:AP8" si="12">RANK(I3,$I$3:$I$8,1)</f>
        <v>5</v>
      </c>
      <c r="AQ3" s="196">
        <v>16.5</v>
      </c>
      <c r="AR3" s="196">
        <v>13.85</v>
      </c>
      <c r="AS3" s="196">
        <v>12.05</v>
      </c>
      <c r="AT3" s="196">
        <v>14.1</v>
      </c>
      <c r="AU3" s="196"/>
      <c r="AV3" s="197">
        <f>AVERAGE(AQ3:AU3)</f>
        <v>14.125000000000002</v>
      </c>
      <c r="AW3" s="196">
        <v>16.47</v>
      </c>
      <c r="AX3" s="196">
        <v>12.07</v>
      </c>
      <c r="AY3" s="196">
        <v>13.93</v>
      </c>
      <c r="AZ3" s="196">
        <v>14.08</v>
      </c>
      <c r="BB3" s="199">
        <f>AVERAGE(AW3:AZ3)</f>
        <v>14.137499999999999</v>
      </c>
      <c r="BC3" s="200">
        <v>12</v>
      </c>
      <c r="BD3" s="200">
        <f>IF(ISERR(BB3),0,IF(BB3&lt;BC3,BB3-BC3,0))</f>
        <v>0</v>
      </c>
      <c r="BE3" s="196">
        <v>15.6</v>
      </c>
      <c r="BF3" s="196">
        <v>11.75</v>
      </c>
      <c r="BG3" s="196">
        <v>11.2</v>
      </c>
      <c r="BH3" s="196">
        <v>12.95</v>
      </c>
      <c r="BJ3" s="199">
        <f t="shared" ref="BJ3" si="13">AVERAGE(BE3:BH3)</f>
        <v>12.875</v>
      </c>
      <c r="BK3" s="196">
        <v>15.45</v>
      </c>
      <c r="BL3" s="196">
        <v>11.55</v>
      </c>
      <c r="BM3" s="196">
        <v>11</v>
      </c>
      <c r="BN3" s="196">
        <v>12.95</v>
      </c>
      <c r="BO3" s="196"/>
      <c r="BP3" s="199">
        <f t="shared" ref="BP3" si="14">AVERAGE(BK3:BN3)</f>
        <v>12.737500000000001</v>
      </c>
      <c r="BQ3" s="200">
        <v>11</v>
      </c>
      <c r="BR3" s="200">
        <f>IF(ISERR(BP3),0,IF(BP3&lt;BQ3,BP3-BQ3,0))</f>
        <v>0</v>
      </c>
    </row>
    <row r="4" spans="1:70">
      <c r="A4" s="218" t="s">
        <v>99</v>
      </c>
      <c r="B4" s="218" t="s">
        <v>126</v>
      </c>
      <c r="C4" s="219" t="s">
        <v>660</v>
      </c>
      <c r="D4" s="219">
        <v>4</v>
      </c>
      <c r="E4" s="220">
        <v>0.55625000000000002</v>
      </c>
      <c r="F4" s="220">
        <v>0.57216435185185188</v>
      </c>
      <c r="G4" s="220">
        <v>0.65372685185185186</v>
      </c>
      <c r="H4" s="208">
        <f>F4-E4</f>
        <v>1.591435185185186E-2</v>
      </c>
      <c r="I4" s="208">
        <f t="shared" si="2"/>
        <v>0</v>
      </c>
      <c r="J4" s="208">
        <f t="shared" si="3"/>
        <v>9.7476851851851842E-2</v>
      </c>
      <c r="K4" s="220">
        <v>0.10416666666666667</v>
      </c>
      <c r="L4" s="220">
        <v>0.33680555555555558</v>
      </c>
      <c r="M4" s="220">
        <v>0.356875</v>
      </c>
      <c r="N4" s="220">
        <v>0.45300925925925922</v>
      </c>
      <c r="O4" s="208">
        <f>M4-L4</f>
        <v>2.0069444444444418E-2</v>
      </c>
      <c r="P4" s="208">
        <f>O4-MIN(O$3:O$27)</f>
        <v>3.2407407407403221E-4</v>
      </c>
      <c r="Q4" s="208">
        <f t="shared" si="6"/>
        <v>0.11620370370370364</v>
      </c>
      <c r="R4" s="220">
        <v>0.1388888888888889</v>
      </c>
      <c r="S4" s="221">
        <v>3</v>
      </c>
      <c r="T4" s="221">
        <v>4</v>
      </c>
      <c r="U4" s="221">
        <v>1</v>
      </c>
      <c r="V4" s="221">
        <v>2</v>
      </c>
      <c r="W4" s="238">
        <f t="shared" ref="W4:W22" si="15">ROUND(MAX(W$2-I4*60*24*0.5+BD4,0),1)</f>
        <v>15</v>
      </c>
      <c r="X4" s="238">
        <f t="shared" ref="X4:X35" si="16">ROUND(MAX(X$2-P4*60*24*0.5+BR4,0),1)</f>
        <v>14.8</v>
      </c>
      <c r="Y4" s="238">
        <f t="shared" si="7"/>
        <v>5</v>
      </c>
      <c r="Z4" s="238">
        <f t="shared" si="8"/>
        <v>5</v>
      </c>
      <c r="AA4" s="221">
        <v>10</v>
      </c>
      <c r="AB4" s="221">
        <v>8</v>
      </c>
      <c r="AC4" s="221">
        <v>4</v>
      </c>
      <c r="AD4" s="221">
        <v>5</v>
      </c>
      <c r="AE4" s="221">
        <v>1.6</v>
      </c>
      <c r="AF4" s="238">
        <f t="shared" si="9"/>
        <v>7</v>
      </c>
      <c r="AG4" s="221">
        <v>4</v>
      </c>
      <c r="AH4" s="221">
        <v>2</v>
      </c>
      <c r="AI4" s="221">
        <v>6</v>
      </c>
      <c r="AJ4" s="238">
        <f t="shared" si="10"/>
        <v>3</v>
      </c>
      <c r="AK4" s="221">
        <v>3</v>
      </c>
      <c r="AL4" s="221">
        <v>5</v>
      </c>
      <c r="AM4" s="238">
        <f t="shared" si="0"/>
        <v>98.399999999999991</v>
      </c>
      <c r="AN4" s="243">
        <f t="shared" si="11"/>
        <v>1</v>
      </c>
      <c r="AO4" s="218"/>
      <c r="AP4" s="243">
        <f t="shared" si="12"/>
        <v>1</v>
      </c>
      <c r="AQ4" s="196">
        <v>12.9</v>
      </c>
      <c r="AR4" s="196">
        <v>10.9</v>
      </c>
      <c r="AS4" s="196">
        <v>12.9</v>
      </c>
      <c r="AT4" s="196">
        <v>11.7</v>
      </c>
      <c r="AU4" s="196"/>
      <c r="AV4" s="197">
        <f t="shared" ref="AV4:AV35" si="17">AVERAGE(AQ4:AU4)</f>
        <v>12.100000000000001</v>
      </c>
      <c r="AW4" s="196">
        <v>12.84</v>
      </c>
      <c r="AX4" s="196">
        <v>10.9</v>
      </c>
      <c r="AY4" s="196">
        <v>11.77</v>
      </c>
      <c r="AZ4" s="196">
        <v>12.94</v>
      </c>
      <c r="BB4" s="199">
        <f t="shared" ref="BB4:BB35" si="18">AVERAGE(AW4:AZ4)</f>
        <v>12.112500000000001</v>
      </c>
      <c r="BC4" s="200">
        <v>12</v>
      </c>
      <c r="BD4" s="200">
        <f t="shared" ref="BD4:BD35" si="19">IF(ISERR(BB4),0,IF(BB4&lt;BC4,BB4-BC4,0))</f>
        <v>0</v>
      </c>
      <c r="BE4" s="196">
        <v>11.9</v>
      </c>
      <c r="BF4" s="196">
        <v>12.25</v>
      </c>
      <c r="BG4" s="196">
        <v>10.1</v>
      </c>
      <c r="BH4" s="196">
        <v>10.4</v>
      </c>
      <c r="BJ4" s="199">
        <f t="shared" ref="BJ4:BJ35" si="20">AVERAGE(BE4:BH4)</f>
        <v>11.1625</v>
      </c>
      <c r="BK4" s="196">
        <v>11.75</v>
      </c>
      <c r="BL4" s="196">
        <v>9.9</v>
      </c>
      <c r="BM4" s="196">
        <v>12.3</v>
      </c>
      <c r="BN4" s="196">
        <v>10.65</v>
      </c>
      <c r="BO4" s="196"/>
      <c r="BP4" s="199">
        <f t="shared" ref="BP4:BP35" si="21">AVERAGE(BK4:BN4)</f>
        <v>11.15</v>
      </c>
      <c r="BQ4" s="200">
        <v>11</v>
      </c>
      <c r="BR4" s="200">
        <f t="shared" ref="BR4:BR35" si="22">IF(ISERR(BP4),0,IF(BP4&lt;BQ4,BP4-BQ4,0))</f>
        <v>0</v>
      </c>
    </row>
    <row r="5" spans="1:70">
      <c r="A5" s="218" t="s">
        <v>99</v>
      </c>
      <c r="B5" s="218" t="s">
        <v>123</v>
      </c>
      <c r="C5" s="219" t="s">
        <v>661</v>
      </c>
      <c r="D5" s="219">
        <v>4</v>
      </c>
      <c r="E5" s="229">
        <v>0.55694444444444402</v>
      </c>
      <c r="F5" s="220">
        <v>0.57418981481481479</v>
      </c>
      <c r="G5" s="220">
        <v>0.65010416666666659</v>
      </c>
      <c r="H5" s="208">
        <f>F5-E5</f>
        <v>1.7245370370370772E-2</v>
      </c>
      <c r="I5" s="208">
        <f t="shared" si="2"/>
        <v>1.3310185185189116E-3</v>
      </c>
      <c r="J5" s="208">
        <f t="shared" si="3"/>
        <v>9.3159722222222574E-2</v>
      </c>
      <c r="K5" s="220">
        <v>0.10416666666666667</v>
      </c>
      <c r="L5" s="220">
        <v>0.33749999999999997</v>
      </c>
      <c r="M5" s="220">
        <v>0.35724537037037035</v>
      </c>
      <c r="N5" s="220">
        <v>0.46100694444444446</v>
      </c>
      <c r="O5" s="208">
        <f t="shared" si="4"/>
        <v>1.9745370370370385E-2</v>
      </c>
      <c r="P5" s="208">
        <f t="shared" si="5"/>
        <v>0</v>
      </c>
      <c r="Q5" s="208">
        <f t="shared" si="6"/>
        <v>0.12350694444444449</v>
      </c>
      <c r="R5" s="220">
        <v>0.1388888888888889</v>
      </c>
      <c r="S5" s="221">
        <v>3</v>
      </c>
      <c r="T5" s="221">
        <v>4</v>
      </c>
      <c r="U5" s="221">
        <v>1</v>
      </c>
      <c r="V5" s="221">
        <v>2</v>
      </c>
      <c r="W5" s="238">
        <f t="shared" si="15"/>
        <v>14</v>
      </c>
      <c r="X5" s="238">
        <f>ROUND(MAX(X$2-P5*60*24*0.5+BR5,0),1)</f>
        <v>15</v>
      </c>
      <c r="Y5" s="238">
        <f t="shared" si="7"/>
        <v>5</v>
      </c>
      <c r="Z5" s="238">
        <f t="shared" si="8"/>
        <v>5</v>
      </c>
      <c r="AA5" s="221">
        <v>10</v>
      </c>
      <c r="AB5" s="221">
        <v>8</v>
      </c>
      <c r="AC5" s="221">
        <v>4</v>
      </c>
      <c r="AD5" s="221">
        <v>4.9000000000000004</v>
      </c>
      <c r="AE5" s="221">
        <v>1.6</v>
      </c>
      <c r="AF5" s="238">
        <f t="shared" si="9"/>
        <v>7</v>
      </c>
      <c r="AG5" s="221">
        <v>4</v>
      </c>
      <c r="AH5" s="221">
        <v>2</v>
      </c>
      <c r="AI5" s="221">
        <v>6</v>
      </c>
      <c r="AJ5" s="238">
        <f t="shared" si="10"/>
        <v>3</v>
      </c>
      <c r="AK5" s="221">
        <v>3</v>
      </c>
      <c r="AL5" s="221">
        <v>5</v>
      </c>
      <c r="AM5" s="238">
        <f t="shared" si="0"/>
        <v>97.5</v>
      </c>
      <c r="AN5" s="243">
        <f t="shared" si="11"/>
        <v>2</v>
      </c>
      <c r="AO5" s="218"/>
      <c r="AP5" s="243">
        <f t="shared" si="12"/>
        <v>2</v>
      </c>
      <c r="AQ5" s="196">
        <v>13.25</v>
      </c>
      <c r="AR5" s="196">
        <v>10.199999999999999</v>
      </c>
      <c r="AS5" s="196">
        <v>12.2</v>
      </c>
      <c r="AT5" s="196">
        <v>13.15</v>
      </c>
      <c r="AU5" s="196"/>
      <c r="AV5" s="197">
        <f t="shared" si="17"/>
        <v>12.2</v>
      </c>
      <c r="AW5" s="196">
        <v>13.34</v>
      </c>
      <c r="AX5" s="196">
        <v>13.19</v>
      </c>
      <c r="AY5" s="196">
        <v>12.26</v>
      </c>
      <c r="AZ5" s="196">
        <v>10.23</v>
      </c>
      <c r="BB5" s="199">
        <f t="shared" si="18"/>
        <v>12.254999999999999</v>
      </c>
      <c r="BC5" s="200">
        <v>12</v>
      </c>
      <c r="BD5" s="200">
        <f t="shared" si="19"/>
        <v>0</v>
      </c>
      <c r="BE5" s="196">
        <v>12.1</v>
      </c>
      <c r="BF5" s="196">
        <v>8.6</v>
      </c>
      <c r="BG5" s="196">
        <v>11.7</v>
      </c>
      <c r="BH5" s="196">
        <v>12.1</v>
      </c>
      <c r="BJ5" s="199">
        <f t="shared" si="20"/>
        <v>11.125</v>
      </c>
      <c r="BK5" s="196">
        <v>8.65</v>
      </c>
      <c r="BL5" s="196">
        <v>12.1</v>
      </c>
      <c r="BM5" s="196">
        <v>12.1</v>
      </c>
      <c r="BN5" s="196">
        <v>11.65</v>
      </c>
      <c r="BO5" s="196"/>
      <c r="BP5" s="199">
        <f t="shared" si="21"/>
        <v>11.125</v>
      </c>
      <c r="BQ5" s="200">
        <v>11</v>
      </c>
      <c r="BR5" s="200">
        <f t="shared" si="22"/>
        <v>0</v>
      </c>
    </row>
    <row r="6" spans="1:70">
      <c r="A6" s="218" t="s">
        <v>99</v>
      </c>
      <c r="B6" s="218" t="s">
        <v>607</v>
      </c>
      <c r="C6" s="219" t="s">
        <v>662</v>
      </c>
      <c r="D6" s="219">
        <v>4</v>
      </c>
      <c r="E6" s="220">
        <v>0.55763888888888902</v>
      </c>
      <c r="F6" s="220">
        <v>0.57542824074074073</v>
      </c>
      <c r="G6" s="220">
        <v>0.64803240740740742</v>
      </c>
      <c r="H6" s="208">
        <f t="shared" si="1"/>
        <v>1.7789351851851709E-2</v>
      </c>
      <c r="I6" s="208">
        <f t="shared" si="2"/>
        <v>1.874999999999849E-3</v>
      </c>
      <c r="J6" s="208">
        <f t="shared" si="3"/>
        <v>9.0393518518518401E-2</v>
      </c>
      <c r="K6" s="220">
        <v>0.10416666666666667</v>
      </c>
      <c r="L6" s="220">
        <v>0.33819444444444402</v>
      </c>
      <c r="M6" s="220">
        <v>0.36039351851851853</v>
      </c>
      <c r="N6" s="220">
        <v>0.45850694444444445</v>
      </c>
      <c r="O6" s="208">
        <f t="shared" si="4"/>
        <v>2.219907407407451E-2</v>
      </c>
      <c r="P6" s="208">
        <f t="shared" si="5"/>
        <v>2.4537037037041243E-3</v>
      </c>
      <c r="Q6" s="208">
        <f t="shared" si="6"/>
        <v>0.12031250000000043</v>
      </c>
      <c r="R6" s="220">
        <v>0.1388888888888889</v>
      </c>
      <c r="S6" s="221">
        <v>3</v>
      </c>
      <c r="T6" s="221">
        <v>4</v>
      </c>
      <c r="U6" s="221">
        <v>1</v>
      </c>
      <c r="V6" s="221">
        <v>2.5</v>
      </c>
      <c r="W6" s="238">
        <f t="shared" si="15"/>
        <v>13.7</v>
      </c>
      <c r="X6" s="238">
        <f t="shared" si="16"/>
        <v>13.2</v>
      </c>
      <c r="Y6" s="238">
        <f t="shared" si="7"/>
        <v>5</v>
      </c>
      <c r="Z6" s="238">
        <f t="shared" si="8"/>
        <v>5</v>
      </c>
      <c r="AA6" s="221">
        <v>9</v>
      </c>
      <c r="AB6" s="221">
        <v>8</v>
      </c>
      <c r="AC6" s="221">
        <v>4</v>
      </c>
      <c r="AD6" s="221">
        <v>4.5999999999999996</v>
      </c>
      <c r="AE6" s="221">
        <v>1.6</v>
      </c>
      <c r="AF6" s="238">
        <f t="shared" si="9"/>
        <v>7</v>
      </c>
      <c r="AG6" s="221">
        <v>3.4</v>
      </c>
      <c r="AH6" s="221">
        <v>1.8</v>
      </c>
      <c r="AI6" s="221">
        <v>6</v>
      </c>
      <c r="AJ6" s="238">
        <f t="shared" si="10"/>
        <v>3.5</v>
      </c>
      <c r="AK6" s="221">
        <v>2.4</v>
      </c>
      <c r="AL6" s="221">
        <v>5</v>
      </c>
      <c r="AM6" s="238">
        <f t="shared" si="0"/>
        <v>93.2</v>
      </c>
      <c r="AN6" s="243">
        <f t="shared" si="11"/>
        <v>3</v>
      </c>
      <c r="AO6" s="218"/>
      <c r="AP6" s="243">
        <f t="shared" si="12"/>
        <v>3</v>
      </c>
      <c r="AQ6" s="196">
        <v>9.35</v>
      </c>
      <c r="AR6" s="196">
        <v>8.9499999999999993</v>
      </c>
      <c r="AS6" s="196">
        <v>15.85</v>
      </c>
      <c r="AT6" s="196">
        <v>13.95</v>
      </c>
      <c r="AU6" s="196"/>
      <c r="AV6" s="197">
        <f t="shared" si="17"/>
        <v>12.024999999999999</v>
      </c>
      <c r="AW6" s="196">
        <v>10</v>
      </c>
      <c r="AX6" s="196">
        <v>8.7799999999999994</v>
      </c>
      <c r="AY6" s="196">
        <v>15.63</v>
      </c>
      <c r="AZ6" s="196">
        <v>13.75</v>
      </c>
      <c r="BB6" s="199">
        <f t="shared" si="18"/>
        <v>12.040000000000001</v>
      </c>
      <c r="BC6" s="200">
        <v>12</v>
      </c>
      <c r="BD6" s="200">
        <f t="shared" si="19"/>
        <v>0</v>
      </c>
      <c r="BE6" s="196">
        <v>7.95</v>
      </c>
      <c r="BF6" s="196">
        <v>10.45</v>
      </c>
      <c r="BG6" s="196">
        <v>14.2</v>
      </c>
      <c r="BH6" s="196">
        <v>12.65</v>
      </c>
      <c r="BJ6" s="199">
        <f t="shared" si="20"/>
        <v>11.312499999999998</v>
      </c>
      <c r="BK6" s="196">
        <v>7.95</v>
      </c>
      <c r="BL6" s="196">
        <v>10.45</v>
      </c>
      <c r="BM6" s="196">
        <v>13.2</v>
      </c>
      <c r="BN6" s="196">
        <v>13.8</v>
      </c>
      <c r="BO6" s="196"/>
      <c r="BP6" s="199">
        <f t="shared" si="21"/>
        <v>11.35</v>
      </c>
      <c r="BQ6" s="200">
        <v>11</v>
      </c>
      <c r="BR6" s="200">
        <f t="shared" si="22"/>
        <v>0</v>
      </c>
    </row>
    <row r="7" spans="1:70">
      <c r="A7" s="218" t="s">
        <v>99</v>
      </c>
      <c r="B7" s="218" t="s">
        <v>124</v>
      </c>
      <c r="C7" s="219" t="s">
        <v>663</v>
      </c>
      <c r="D7" s="219">
        <v>4</v>
      </c>
      <c r="E7" s="229">
        <v>0.55833333333333302</v>
      </c>
      <c r="F7" s="220">
        <v>0.58187500000000003</v>
      </c>
      <c r="G7" s="220">
        <v>0.64887731481481481</v>
      </c>
      <c r="H7" s="208">
        <f t="shared" si="1"/>
        <v>2.3541666666667016E-2</v>
      </c>
      <c r="I7" s="208">
        <f t="shared" si="2"/>
        <v>7.6273148148151559E-3</v>
      </c>
      <c r="J7" s="208">
        <f t="shared" si="3"/>
        <v>9.0543981481481794E-2</v>
      </c>
      <c r="K7" s="220">
        <v>0.10416666666666667</v>
      </c>
      <c r="L7" s="220">
        <v>0.34027777777777801</v>
      </c>
      <c r="M7" s="220">
        <v>0.36901620370370369</v>
      </c>
      <c r="N7" s="220">
        <v>0.46413194444444444</v>
      </c>
      <c r="O7" s="208">
        <f t="shared" si="4"/>
        <v>2.8738425925925681E-2</v>
      </c>
      <c r="P7" s="208">
        <f t="shared" si="5"/>
        <v>8.993055555555296E-3</v>
      </c>
      <c r="Q7" s="208">
        <f t="shared" si="6"/>
        <v>0.12385416666666643</v>
      </c>
      <c r="R7" s="220">
        <v>0.1388888888888889</v>
      </c>
      <c r="S7" s="221">
        <v>3</v>
      </c>
      <c r="T7" s="221">
        <v>1</v>
      </c>
      <c r="U7" s="221">
        <v>1</v>
      </c>
      <c r="V7" s="221">
        <v>1.7</v>
      </c>
      <c r="W7" s="238">
        <f t="shared" si="15"/>
        <v>9.5</v>
      </c>
      <c r="X7" s="238">
        <f t="shared" si="16"/>
        <v>8.5</v>
      </c>
      <c r="Y7" s="238">
        <f t="shared" si="7"/>
        <v>5</v>
      </c>
      <c r="Z7" s="238">
        <f t="shared" si="8"/>
        <v>5</v>
      </c>
      <c r="AA7" s="221">
        <v>8.1</v>
      </c>
      <c r="AB7" s="221">
        <v>6.5</v>
      </c>
      <c r="AC7" s="221">
        <v>3.6</v>
      </c>
      <c r="AD7" s="221">
        <v>2.7</v>
      </c>
      <c r="AE7" s="221">
        <v>1.6</v>
      </c>
      <c r="AF7" s="238">
        <f t="shared" si="9"/>
        <v>4</v>
      </c>
      <c r="AG7" s="221">
        <v>3</v>
      </c>
      <c r="AH7" s="221">
        <v>1.6</v>
      </c>
      <c r="AI7" s="221">
        <v>5.6</v>
      </c>
      <c r="AJ7" s="238">
        <f t="shared" si="10"/>
        <v>2.7</v>
      </c>
      <c r="AK7" s="221">
        <v>3</v>
      </c>
      <c r="AL7" s="221">
        <v>5</v>
      </c>
      <c r="AM7" s="238">
        <f t="shared" si="0"/>
        <v>75.400000000000006</v>
      </c>
      <c r="AN7" s="243">
        <f t="shared" si="11"/>
        <v>6</v>
      </c>
      <c r="AO7" s="218"/>
      <c r="AP7" s="243">
        <f t="shared" si="12"/>
        <v>6</v>
      </c>
      <c r="AQ7" s="196">
        <v>11.9</v>
      </c>
      <c r="AR7" s="196">
        <v>14.35</v>
      </c>
      <c r="AS7" s="196">
        <v>13.4</v>
      </c>
      <c r="AT7" s="196">
        <v>14.05</v>
      </c>
      <c r="AU7" s="196"/>
      <c r="AV7" s="197">
        <f t="shared" si="17"/>
        <v>13.425000000000001</v>
      </c>
      <c r="AW7" s="196">
        <v>11.72</v>
      </c>
      <c r="AX7" s="196">
        <v>14</v>
      </c>
      <c r="AY7" s="196">
        <v>13.11</v>
      </c>
      <c r="AZ7" s="196">
        <v>13.81</v>
      </c>
      <c r="BB7" s="199">
        <f t="shared" si="18"/>
        <v>13.16</v>
      </c>
      <c r="BC7" s="200">
        <v>12</v>
      </c>
      <c r="BD7" s="200">
        <f t="shared" si="19"/>
        <v>0</v>
      </c>
      <c r="BE7" s="196">
        <v>11.95</v>
      </c>
      <c r="BF7" s="196">
        <v>11.65</v>
      </c>
      <c r="BG7" s="196">
        <v>12.2</v>
      </c>
      <c r="BH7" s="196">
        <v>11.6</v>
      </c>
      <c r="BJ7" s="199">
        <f t="shared" si="20"/>
        <v>11.85</v>
      </c>
      <c r="BK7" s="196">
        <v>11.6</v>
      </c>
      <c r="BL7" s="196">
        <v>11.95</v>
      </c>
      <c r="BM7" s="196">
        <v>12.25</v>
      </c>
      <c r="BN7" s="196">
        <v>11.5</v>
      </c>
      <c r="BO7" s="196"/>
      <c r="BP7" s="199">
        <f t="shared" si="21"/>
        <v>11.824999999999999</v>
      </c>
      <c r="BQ7" s="200">
        <v>11</v>
      </c>
      <c r="BR7" s="200">
        <f t="shared" si="22"/>
        <v>0</v>
      </c>
    </row>
    <row r="8" spans="1:70" ht="14.25" thickBot="1">
      <c r="A8" s="223" t="s">
        <v>99</v>
      </c>
      <c r="B8" s="223" t="s">
        <v>179</v>
      </c>
      <c r="C8" s="224" t="s">
        <v>664</v>
      </c>
      <c r="D8" s="224">
        <v>4</v>
      </c>
      <c r="E8" s="225">
        <v>0.55902777777777801</v>
      </c>
      <c r="F8" s="225">
        <v>0.58002314814814815</v>
      </c>
      <c r="G8" s="225">
        <v>0.64299768518518519</v>
      </c>
      <c r="H8" s="209">
        <f>F8-E8</f>
        <v>2.0995370370370137E-2</v>
      </c>
      <c r="I8" s="209">
        <f t="shared" si="2"/>
        <v>5.0810185185182766E-3</v>
      </c>
      <c r="J8" s="209">
        <f>G8-E8</f>
        <v>8.3969907407407174E-2</v>
      </c>
      <c r="K8" s="225">
        <v>0.10416666666666667</v>
      </c>
      <c r="L8" s="225">
        <v>0.33888888888888902</v>
      </c>
      <c r="M8" s="225">
        <v>0.36553240740740739</v>
      </c>
      <c r="N8" s="225">
        <v>0.46197916666666666</v>
      </c>
      <c r="O8" s="209">
        <f>M8-L8</f>
        <v>2.6643518518518372E-2</v>
      </c>
      <c r="P8" s="209">
        <f t="shared" si="5"/>
        <v>6.8981481481479867E-3</v>
      </c>
      <c r="Q8" s="209">
        <f>N8-L8</f>
        <v>0.12309027777777765</v>
      </c>
      <c r="R8" s="225">
        <v>0.1388888888888889</v>
      </c>
      <c r="S8" s="226">
        <v>3</v>
      </c>
      <c r="T8" s="226">
        <v>4</v>
      </c>
      <c r="U8" s="226">
        <v>0.5</v>
      </c>
      <c r="V8" s="226">
        <v>2.5</v>
      </c>
      <c r="W8" s="239">
        <f t="shared" si="15"/>
        <v>11.3</v>
      </c>
      <c r="X8" s="239">
        <f t="shared" si="16"/>
        <v>10</v>
      </c>
      <c r="Y8" s="239">
        <f>ROUND(MAX(MIN(Y$2+(K8-J8)*60*24*0.2,$Y$2),0),1)</f>
        <v>5</v>
      </c>
      <c r="Z8" s="239">
        <f>ROUND(MAX(MIN($Z$2+(R8-Q8)*60*24*0.2,$Z$2),0),1)</f>
        <v>5</v>
      </c>
      <c r="AA8" s="226">
        <v>10</v>
      </c>
      <c r="AB8" s="226">
        <v>8</v>
      </c>
      <c r="AC8" s="226">
        <v>4</v>
      </c>
      <c r="AD8" s="226">
        <v>4.4000000000000004</v>
      </c>
      <c r="AE8" s="226">
        <v>1.6</v>
      </c>
      <c r="AF8" s="239">
        <f t="shared" si="9"/>
        <v>7</v>
      </c>
      <c r="AG8" s="226">
        <v>3.6</v>
      </c>
      <c r="AH8" s="226">
        <v>1.8</v>
      </c>
      <c r="AI8" s="226">
        <v>5.7</v>
      </c>
      <c r="AJ8" s="239">
        <f t="shared" si="10"/>
        <v>3</v>
      </c>
      <c r="AK8" s="226">
        <v>3</v>
      </c>
      <c r="AL8" s="226">
        <v>5</v>
      </c>
      <c r="AM8" s="239">
        <f t="shared" si="0"/>
        <v>88.399999999999991</v>
      </c>
      <c r="AN8" s="244">
        <f t="shared" si="11"/>
        <v>4</v>
      </c>
      <c r="AO8" s="223"/>
      <c r="AP8" s="243">
        <f t="shared" si="12"/>
        <v>4</v>
      </c>
      <c r="AQ8" s="196">
        <v>13.15</v>
      </c>
      <c r="AR8" s="196">
        <v>13.3</v>
      </c>
      <c r="AS8" s="196">
        <v>11.85</v>
      </c>
      <c r="AT8" s="196">
        <v>11.35</v>
      </c>
      <c r="AU8" s="196"/>
      <c r="AV8" s="197">
        <f t="shared" si="17"/>
        <v>12.412500000000001</v>
      </c>
      <c r="AW8" s="196">
        <v>11.39</v>
      </c>
      <c r="AX8" s="196">
        <v>13.31</v>
      </c>
      <c r="AY8" s="196">
        <v>13.2</v>
      </c>
      <c r="AZ8" s="196">
        <v>11.84</v>
      </c>
      <c r="BB8" s="199">
        <f t="shared" si="18"/>
        <v>12.435000000000002</v>
      </c>
      <c r="BC8" s="200">
        <v>12</v>
      </c>
      <c r="BD8" s="200">
        <f t="shared" si="19"/>
        <v>0</v>
      </c>
      <c r="BE8" s="196">
        <v>10.95</v>
      </c>
      <c r="BF8" s="196">
        <v>11.2</v>
      </c>
      <c r="BG8" s="196">
        <v>11.15</v>
      </c>
      <c r="BH8" s="196">
        <v>11.45</v>
      </c>
      <c r="BJ8" s="199">
        <f t="shared" si="20"/>
        <v>11.1875</v>
      </c>
      <c r="BK8" s="196">
        <v>11.1</v>
      </c>
      <c r="BL8" s="196">
        <v>11.2</v>
      </c>
      <c r="BM8" s="196">
        <v>11.55</v>
      </c>
      <c r="BN8" s="196">
        <v>10.65</v>
      </c>
      <c r="BO8" s="196"/>
      <c r="BP8" s="199">
        <f t="shared" si="21"/>
        <v>11.124999999999998</v>
      </c>
      <c r="BQ8" s="200">
        <v>11</v>
      </c>
      <c r="BR8" s="200">
        <f t="shared" si="22"/>
        <v>0</v>
      </c>
    </row>
    <row r="9" spans="1:70">
      <c r="A9" s="227" t="s">
        <v>100</v>
      </c>
      <c r="B9" s="227" t="s">
        <v>707</v>
      </c>
      <c r="C9" s="228" t="s">
        <v>666</v>
      </c>
      <c r="D9" s="228">
        <v>4</v>
      </c>
      <c r="E9" s="229">
        <v>0.55972222222222201</v>
      </c>
      <c r="F9" s="229">
        <v>0.58503472222222219</v>
      </c>
      <c r="G9" s="229">
        <v>0.63871527777777781</v>
      </c>
      <c r="H9" s="210">
        <f t="shared" si="1"/>
        <v>2.5312500000000182E-2</v>
      </c>
      <c r="I9" s="210">
        <f t="shared" si="2"/>
        <v>9.398148148148322E-3</v>
      </c>
      <c r="J9" s="210">
        <f t="shared" si="3"/>
        <v>7.8993055555555802E-2</v>
      </c>
      <c r="K9" s="229">
        <v>0.10416666666666667</v>
      </c>
      <c r="L9" s="229">
        <v>0.34930555555555498</v>
      </c>
      <c r="M9" s="229">
        <v>0.38146990740740744</v>
      </c>
      <c r="N9" s="229">
        <v>0.44559027777777777</v>
      </c>
      <c r="O9" s="210">
        <f t="shared" si="4"/>
        <v>3.2164351851852457E-2</v>
      </c>
      <c r="P9" s="210">
        <f t="shared" si="5"/>
        <v>1.2418981481482072E-2</v>
      </c>
      <c r="Q9" s="210">
        <f t="shared" si="6"/>
        <v>9.6284722222222785E-2</v>
      </c>
      <c r="R9" s="229">
        <v>0.1388888888888889</v>
      </c>
      <c r="S9" s="230">
        <v>2</v>
      </c>
      <c r="T9" s="230">
        <v>2</v>
      </c>
      <c r="U9" s="230">
        <v>1</v>
      </c>
      <c r="V9" s="230">
        <v>1.5</v>
      </c>
      <c r="W9" s="240">
        <f t="shared" si="15"/>
        <v>8.1999999999999993</v>
      </c>
      <c r="X9" s="240">
        <f t="shared" si="16"/>
        <v>6.1</v>
      </c>
      <c r="Y9" s="240">
        <f t="shared" si="7"/>
        <v>5</v>
      </c>
      <c r="Z9" s="240">
        <f t="shared" si="8"/>
        <v>5</v>
      </c>
      <c r="AA9" s="230">
        <v>6.9</v>
      </c>
      <c r="AB9" s="230">
        <v>8</v>
      </c>
      <c r="AC9" s="230">
        <v>3</v>
      </c>
      <c r="AD9" s="230">
        <v>2.8</v>
      </c>
      <c r="AE9" s="230">
        <v>1.6</v>
      </c>
      <c r="AF9" s="240">
        <f t="shared" si="9"/>
        <v>4</v>
      </c>
      <c r="AG9" s="230">
        <v>2.8</v>
      </c>
      <c r="AH9" s="230">
        <v>0.8</v>
      </c>
      <c r="AI9" s="230">
        <v>4.2</v>
      </c>
      <c r="AJ9" s="240">
        <f t="shared" si="10"/>
        <v>2.5</v>
      </c>
      <c r="AK9" s="230">
        <v>2.4</v>
      </c>
      <c r="AL9" s="230">
        <v>5</v>
      </c>
      <c r="AM9" s="240">
        <f t="shared" si="0"/>
        <v>68.299999999999983</v>
      </c>
      <c r="AN9" s="245">
        <f t="shared" ref="AN9:AN27" si="23">RANK(AM9,$AM$9:$AM$27)</f>
        <v>14</v>
      </c>
      <c r="AO9" s="227"/>
      <c r="AP9" s="245">
        <f t="shared" ref="AP9:AP27" si="24">RANK(I9,$I$9:$I$27,1)</f>
        <v>13</v>
      </c>
      <c r="AQ9" s="196">
        <v>14.45</v>
      </c>
      <c r="AR9" s="196">
        <v>15.1</v>
      </c>
      <c r="AS9" s="196">
        <v>13.2</v>
      </c>
      <c r="AT9" s="196">
        <v>13.35</v>
      </c>
      <c r="AU9" s="196"/>
      <c r="AV9" s="197">
        <f t="shared" si="17"/>
        <v>14.025</v>
      </c>
      <c r="AW9" s="196">
        <v>14.23</v>
      </c>
      <c r="AX9" s="196">
        <v>13.12</v>
      </c>
      <c r="AY9" s="196">
        <v>13.09</v>
      </c>
      <c r="AZ9" s="196">
        <v>15.03</v>
      </c>
      <c r="BB9" s="199">
        <f t="shared" si="18"/>
        <v>13.8675</v>
      </c>
      <c r="BC9" s="200">
        <v>12</v>
      </c>
      <c r="BD9" s="200">
        <f t="shared" si="19"/>
        <v>0</v>
      </c>
      <c r="BE9" s="196">
        <v>11.7</v>
      </c>
      <c r="BF9" s="196">
        <v>11.6</v>
      </c>
      <c r="BG9" s="196">
        <v>10.050000000000001</v>
      </c>
      <c r="BH9" s="196">
        <v>13.55</v>
      </c>
      <c r="BJ9" s="199">
        <f t="shared" si="20"/>
        <v>11.724999999999998</v>
      </c>
      <c r="BK9" s="196">
        <v>11.65</v>
      </c>
      <c r="BL9" s="196">
        <v>11.35</v>
      </c>
      <c r="BM9" s="196">
        <v>9.75</v>
      </c>
      <c r="BN9" s="196">
        <v>13.6</v>
      </c>
      <c r="BO9" s="196"/>
      <c r="BP9" s="199">
        <f t="shared" si="21"/>
        <v>11.5875</v>
      </c>
      <c r="BQ9" s="200">
        <v>11</v>
      </c>
      <c r="BR9" s="200">
        <f t="shared" si="22"/>
        <v>0</v>
      </c>
    </row>
    <row r="10" spans="1:70">
      <c r="A10" s="218" t="s">
        <v>100</v>
      </c>
      <c r="B10" s="218" t="s">
        <v>730</v>
      </c>
      <c r="C10" s="219" t="s">
        <v>667</v>
      </c>
      <c r="D10" s="219">
        <v>4</v>
      </c>
      <c r="E10" s="220">
        <v>0.56041666666666701</v>
      </c>
      <c r="F10" s="220">
        <v>0.57907407407407407</v>
      </c>
      <c r="G10" s="220">
        <v>0.65994212962962961</v>
      </c>
      <c r="H10" s="208">
        <f t="shared" si="1"/>
        <v>1.8657407407407067E-2</v>
      </c>
      <c r="I10" s="208">
        <f t="shared" si="2"/>
        <v>2.7430555555552072E-3</v>
      </c>
      <c r="J10" s="208">
        <f>G10-E10</f>
        <v>9.9525462962962608E-2</v>
      </c>
      <c r="K10" s="220">
        <v>0.10416666666666667</v>
      </c>
      <c r="L10" s="220">
        <v>0.34097222222222201</v>
      </c>
      <c r="M10" s="220">
        <v>0.36510416666666662</v>
      </c>
      <c r="N10" s="220">
        <v>0.47546296296296298</v>
      </c>
      <c r="O10" s="208">
        <f t="shared" si="4"/>
        <v>2.4131944444444609E-2</v>
      </c>
      <c r="P10" s="208">
        <f t="shared" si="5"/>
        <v>4.3865740740742232E-3</v>
      </c>
      <c r="Q10" s="208">
        <f t="shared" si="6"/>
        <v>0.13449074074074097</v>
      </c>
      <c r="R10" s="220">
        <v>0.1388888888888889</v>
      </c>
      <c r="S10" s="221">
        <v>3</v>
      </c>
      <c r="T10" s="221">
        <v>3</v>
      </c>
      <c r="U10" s="221">
        <v>1</v>
      </c>
      <c r="V10" s="221">
        <v>2</v>
      </c>
      <c r="W10" s="238">
        <f t="shared" si="15"/>
        <v>13</v>
      </c>
      <c r="X10" s="238">
        <f t="shared" si="16"/>
        <v>11.8</v>
      </c>
      <c r="Y10" s="238">
        <f t="shared" si="7"/>
        <v>5</v>
      </c>
      <c r="Z10" s="238">
        <f t="shared" si="8"/>
        <v>5</v>
      </c>
      <c r="AA10" s="221">
        <v>10</v>
      </c>
      <c r="AB10" s="221">
        <v>8</v>
      </c>
      <c r="AC10" s="221">
        <v>4</v>
      </c>
      <c r="AD10" s="221">
        <v>4.9000000000000004</v>
      </c>
      <c r="AE10" s="221">
        <v>0.8</v>
      </c>
      <c r="AF10" s="238">
        <f t="shared" si="9"/>
        <v>6</v>
      </c>
      <c r="AG10" s="221">
        <v>3.8</v>
      </c>
      <c r="AH10" s="221">
        <v>1.6</v>
      </c>
      <c r="AI10" s="221">
        <v>6</v>
      </c>
      <c r="AJ10" s="238">
        <f t="shared" si="10"/>
        <v>3</v>
      </c>
      <c r="AK10" s="221">
        <v>3</v>
      </c>
      <c r="AL10" s="221">
        <v>5</v>
      </c>
      <c r="AM10" s="238">
        <f t="shared" si="0"/>
        <v>90.899999999999991</v>
      </c>
      <c r="AN10" s="243">
        <f t="shared" si="23"/>
        <v>2</v>
      </c>
      <c r="AO10" s="218"/>
      <c r="AP10" s="243">
        <f t="shared" si="24"/>
        <v>1</v>
      </c>
      <c r="AQ10" s="196">
        <v>12.9</v>
      </c>
      <c r="AR10" s="196">
        <v>12.65</v>
      </c>
      <c r="AS10" s="196">
        <v>12.55</v>
      </c>
      <c r="AT10" s="196">
        <v>12.6</v>
      </c>
      <c r="AU10" s="196"/>
      <c r="AV10" s="197">
        <f t="shared" si="17"/>
        <v>12.675000000000001</v>
      </c>
      <c r="AW10" s="196">
        <v>12.84</v>
      </c>
      <c r="AX10" s="196">
        <v>12.66</v>
      </c>
      <c r="AY10" s="196">
        <v>12.6</v>
      </c>
      <c r="AZ10" s="196">
        <v>12.63</v>
      </c>
      <c r="BB10" s="199">
        <f t="shared" si="18"/>
        <v>12.682500000000001</v>
      </c>
      <c r="BC10" s="200">
        <v>12</v>
      </c>
      <c r="BD10" s="200">
        <f t="shared" si="19"/>
        <v>0</v>
      </c>
      <c r="BE10" s="196">
        <v>12.35</v>
      </c>
      <c r="BF10" s="196">
        <v>12.35</v>
      </c>
      <c r="BG10" s="196">
        <v>11.55</v>
      </c>
      <c r="BH10" s="196">
        <v>11.4</v>
      </c>
      <c r="BJ10" s="199">
        <f t="shared" si="20"/>
        <v>11.9125</v>
      </c>
      <c r="BK10" s="196">
        <v>11.3</v>
      </c>
      <c r="BL10" s="196">
        <v>11.9</v>
      </c>
      <c r="BM10" s="196">
        <v>12.05</v>
      </c>
      <c r="BN10" s="196">
        <v>11.5</v>
      </c>
      <c r="BO10" s="196"/>
      <c r="BP10" s="199">
        <f t="shared" si="21"/>
        <v>11.6875</v>
      </c>
      <c r="BQ10" s="200">
        <v>11</v>
      </c>
      <c r="BR10" s="200">
        <f t="shared" si="22"/>
        <v>0</v>
      </c>
    </row>
    <row r="11" spans="1:70">
      <c r="A11" s="218" t="s">
        <v>100</v>
      </c>
      <c r="B11" s="218" t="s">
        <v>709</v>
      </c>
      <c r="C11" s="219" t="s">
        <v>668</v>
      </c>
      <c r="D11" s="219">
        <v>4</v>
      </c>
      <c r="E11" s="229">
        <v>0.56111111111111101</v>
      </c>
      <c r="F11" s="220">
        <v>0.58586805555555554</v>
      </c>
      <c r="G11" s="220">
        <v>0.65393518518518523</v>
      </c>
      <c r="H11" s="208">
        <f t="shared" si="1"/>
        <v>2.475694444444454E-2</v>
      </c>
      <c r="I11" s="208">
        <f t="shared" si="2"/>
        <v>8.8425925925926796E-3</v>
      </c>
      <c r="J11" s="208">
        <f t="shared" si="3"/>
        <v>9.2824074074074225E-2</v>
      </c>
      <c r="K11" s="220">
        <v>0.10416666666666667</v>
      </c>
      <c r="L11" s="220">
        <v>0.34861111111110998</v>
      </c>
      <c r="M11" s="220">
        <v>0.37781250000000005</v>
      </c>
      <c r="N11" s="220">
        <v>0.46421296296296299</v>
      </c>
      <c r="O11" s="208">
        <f t="shared" si="4"/>
        <v>2.9201388888890067E-2</v>
      </c>
      <c r="P11" s="208">
        <f t="shared" si="5"/>
        <v>9.4560185185196821E-3</v>
      </c>
      <c r="Q11" s="208">
        <f t="shared" si="6"/>
        <v>0.11560185185185301</v>
      </c>
      <c r="R11" s="220">
        <v>0.1388888888888889</v>
      </c>
      <c r="S11" s="221">
        <v>3</v>
      </c>
      <c r="T11" s="221">
        <v>3</v>
      </c>
      <c r="U11" s="221">
        <v>1</v>
      </c>
      <c r="V11" s="221">
        <v>1.5</v>
      </c>
      <c r="W11" s="238">
        <f t="shared" si="15"/>
        <v>8.6</v>
      </c>
      <c r="X11" s="238">
        <f t="shared" si="16"/>
        <v>8.1999999999999993</v>
      </c>
      <c r="Y11" s="238">
        <f t="shared" si="7"/>
        <v>5</v>
      </c>
      <c r="Z11" s="238">
        <f t="shared" si="8"/>
        <v>5</v>
      </c>
      <c r="AA11" s="221">
        <v>6.7</v>
      </c>
      <c r="AB11" s="221">
        <v>7.5</v>
      </c>
      <c r="AC11" s="221">
        <v>3.5</v>
      </c>
      <c r="AD11" s="221">
        <v>3.9</v>
      </c>
      <c r="AE11" s="221">
        <v>1.8</v>
      </c>
      <c r="AF11" s="238">
        <f t="shared" si="9"/>
        <v>6</v>
      </c>
      <c r="AG11" s="221">
        <v>3.6</v>
      </c>
      <c r="AH11" s="221">
        <v>1</v>
      </c>
      <c r="AI11" s="221">
        <v>5.6</v>
      </c>
      <c r="AJ11" s="238">
        <f t="shared" si="10"/>
        <v>2.5</v>
      </c>
      <c r="AK11" s="221">
        <v>3</v>
      </c>
      <c r="AL11" s="221">
        <v>5</v>
      </c>
      <c r="AM11" s="238">
        <f t="shared" si="0"/>
        <v>76.899999999999991</v>
      </c>
      <c r="AN11" s="243">
        <f t="shared" si="23"/>
        <v>10</v>
      </c>
      <c r="AO11" s="218"/>
      <c r="AP11" s="243">
        <f t="shared" si="24"/>
        <v>12</v>
      </c>
      <c r="AQ11" s="196">
        <v>10.9</v>
      </c>
      <c r="AR11" s="196">
        <v>13.6</v>
      </c>
      <c r="AS11" s="196">
        <v>13.65</v>
      </c>
      <c r="AT11" s="196">
        <v>12.75</v>
      </c>
      <c r="AU11" s="196"/>
      <c r="AV11" s="197">
        <f t="shared" si="17"/>
        <v>12.725</v>
      </c>
      <c r="AW11" s="196">
        <v>10.69</v>
      </c>
      <c r="AX11" s="196">
        <v>13.51</v>
      </c>
      <c r="AY11" s="196">
        <v>13.73</v>
      </c>
      <c r="AZ11" s="196">
        <v>12.88</v>
      </c>
      <c r="BB11" s="199">
        <f t="shared" si="18"/>
        <v>12.702500000000001</v>
      </c>
      <c r="BC11" s="200">
        <v>12</v>
      </c>
      <c r="BD11" s="200">
        <f t="shared" si="19"/>
        <v>0</v>
      </c>
      <c r="BE11" s="196">
        <v>10.3</v>
      </c>
      <c r="BF11" s="196">
        <v>12.35</v>
      </c>
      <c r="BG11" s="196">
        <v>12.8</v>
      </c>
      <c r="BH11" s="196">
        <v>10.95</v>
      </c>
      <c r="BJ11" s="199">
        <f t="shared" si="20"/>
        <v>11.600000000000001</v>
      </c>
      <c r="BK11" s="196">
        <v>10.25</v>
      </c>
      <c r="BL11" s="196">
        <v>12.4</v>
      </c>
      <c r="BM11" s="196">
        <v>10.85</v>
      </c>
      <c r="BN11" s="196">
        <v>12.55</v>
      </c>
      <c r="BO11" s="196"/>
      <c r="BP11" s="199">
        <f t="shared" si="21"/>
        <v>11.512499999999999</v>
      </c>
      <c r="BQ11" s="200">
        <v>11</v>
      </c>
      <c r="BR11" s="200">
        <f t="shared" si="22"/>
        <v>0</v>
      </c>
    </row>
    <row r="12" spans="1:70">
      <c r="A12" s="218" t="s">
        <v>100</v>
      </c>
      <c r="B12" s="218" t="s">
        <v>711</v>
      </c>
      <c r="C12" s="219" t="s">
        <v>669</v>
      </c>
      <c r="D12" s="219">
        <v>4</v>
      </c>
      <c r="E12" s="220">
        <v>0.561805555555556</v>
      </c>
      <c r="F12" s="220">
        <v>0.58285879629629633</v>
      </c>
      <c r="G12" s="220">
        <v>0.65423611111111113</v>
      </c>
      <c r="H12" s="208">
        <f>F12-E12</f>
        <v>2.1053240740740331E-2</v>
      </c>
      <c r="I12" s="208">
        <f t="shared" si="2"/>
        <v>5.138888888888471E-3</v>
      </c>
      <c r="J12" s="208">
        <f>G12-E12</f>
        <v>9.2430555555555127E-2</v>
      </c>
      <c r="K12" s="220">
        <v>0.10416666666666667</v>
      </c>
      <c r="L12" s="220">
        <v>0.344444444444444</v>
      </c>
      <c r="M12" s="220">
        <v>0.36790509259259258</v>
      </c>
      <c r="N12" s="220">
        <v>0.4513888888888889</v>
      </c>
      <c r="O12" s="208">
        <f>M12-L12</f>
        <v>2.3460648148148577E-2</v>
      </c>
      <c r="P12" s="208">
        <f t="shared" si="5"/>
        <v>3.715277777778192E-3</v>
      </c>
      <c r="Q12" s="208">
        <f>N12-L12</f>
        <v>0.1069444444444449</v>
      </c>
      <c r="R12" s="220">
        <v>0.1388888888888889</v>
      </c>
      <c r="S12" s="221">
        <v>2</v>
      </c>
      <c r="T12" s="221">
        <v>3</v>
      </c>
      <c r="U12" s="221">
        <v>1</v>
      </c>
      <c r="V12" s="221">
        <v>2.5</v>
      </c>
      <c r="W12" s="238">
        <f t="shared" si="15"/>
        <v>11.3</v>
      </c>
      <c r="X12" s="238">
        <f t="shared" si="16"/>
        <v>12.3</v>
      </c>
      <c r="Y12" s="238">
        <f>ROUND(MAX(MIN(Y$2+(K12-J12)*60*24*0.2,$Y$2),0),1)</f>
        <v>5</v>
      </c>
      <c r="Z12" s="238">
        <f>ROUND(MAX(MIN($Z$2+(R12-Q12)*60*24*0.2,$Z$2),0),1)</f>
        <v>5</v>
      </c>
      <c r="AA12" s="221">
        <v>10</v>
      </c>
      <c r="AB12" s="221">
        <v>8</v>
      </c>
      <c r="AC12" s="221">
        <v>4</v>
      </c>
      <c r="AD12" s="221">
        <v>4.9000000000000004</v>
      </c>
      <c r="AE12" s="221">
        <v>1.6</v>
      </c>
      <c r="AF12" s="238">
        <f t="shared" si="9"/>
        <v>5</v>
      </c>
      <c r="AG12" s="221">
        <v>4</v>
      </c>
      <c r="AH12" s="221">
        <v>1.8</v>
      </c>
      <c r="AI12" s="221">
        <v>5.7</v>
      </c>
      <c r="AJ12" s="238">
        <f t="shared" si="10"/>
        <v>3.5</v>
      </c>
      <c r="AK12" s="221">
        <v>3</v>
      </c>
      <c r="AL12" s="221">
        <v>5</v>
      </c>
      <c r="AM12" s="238">
        <f t="shared" si="0"/>
        <v>90.1</v>
      </c>
      <c r="AN12" s="243">
        <f t="shared" si="23"/>
        <v>3</v>
      </c>
      <c r="AO12" s="218"/>
      <c r="AP12" s="243">
        <f t="shared" si="24"/>
        <v>6</v>
      </c>
      <c r="AQ12" s="196">
        <v>13.3</v>
      </c>
      <c r="AR12" s="196">
        <v>12</v>
      </c>
      <c r="AS12" s="196">
        <v>12.1</v>
      </c>
      <c r="AT12" s="196">
        <v>13.15</v>
      </c>
      <c r="AU12" s="196"/>
      <c r="AV12" s="197">
        <f t="shared" si="17"/>
        <v>12.637499999999999</v>
      </c>
      <c r="AW12" s="196">
        <v>13.31</v>
      </c>
      <c r="AX12" s="196">
        <v>12.08</v>
      </c>
      <c r="AY12" s="196">
        <v>12.13</v>
      </c>
      <c r="AZ12" s="196">
        <v>13.23</v>
      </c>
      <c r="BB12" s="199">
        <f t="shared" si="18"/>
        <v>12.6875</v>
      </c>
      <c r="BC12" s="200">
        <v>12</v>
      </c>
      <c r="BD12" s="200">
        <f t="shared" si="19"/>
        <v>0</v>
      </c>
      <c r="BE12" s="196">
        <v>12.1</v>
      </c>
      <c r="BF12" s="196">
        <v>9.75</v>
      </c>
      <c r="BG12" s="196">
        <v>11.35</v>
      </c>
      <c r="BH12" s="196">
        <v>12.65</v>
      </c>
      <c r="BJ12" s="199">
        <f t="shared" si="20"/>
        <v>11.4625</v>
      </c>
      <c r="BK12" s="196">
        <v>11.9</v>
      </c>
      <c r="BL12" s="196">
        <v>9.6999999999999993</v>
      </c>
      <c r="BM12" s="196">
        <v>11.3</v>
      </c>
      <c r="BN12" s="196">
        <v>12.65</v>
      </c>
      <c r="BO12" s="196"/>
      <c r="BP12" s="199">
        <f t="shared" si="21"/>
        <v>11.387500000000001</v>
      </c>
      <c r="BQ12" s="200">
        <v>11</v>
      </c>
      <c r="BR12" s="200">
        <f t="shared" si="22"/>
        <v>0</v>
      </c>
    </row>
    <row r="13" spans="1:70">
      <c r="A13" s="218" t="s">
        <v>738</v>
      </c>
      <c r="B13" s="218" t="s">
        <v>740</v>
      </c>
      <c r="C13" s="219" t="s">
        <v>670</v>
      </c>
      <c r="D13" s="219">
        <v>3</v>
      </c>
      <c r="E13" s="220">
        <v>0.5625</v>
      </c>
      <c r="F13" s="220">
        <v>0.59240740740740738</v>
      </c>
      <c r="G13" s="220">
        <v>0.66833333333333333</v>
      </c>
      <c r="H13" s="208">
        <f>F13-E13</f>
        <v>2.9907407407407383E-2</v>
      </c>
      <c r="I13" s="208">
        <f t="shared" si="2"/>
        <v>1.3993055555555522E-2</v>
      </c>
      <c r="J13" s="208">
        <f>G13-E13</f>
        <v>0.10583333333333333</v>
      </c>
      <c r="K13" s="220">
        <v>0.10416666666666667</v>
      </c>
      <c r="L13" s="220">
        <v>0.35277777777777602</v>
      </c>
      <c r="M13" s="220">
        <v>0.38693287037037033</v>
      </c>
      <c r="N13" s="220">
        <v>0.46747685185185189</v>
      </c>
      <c r="O13" s="208">
        <f>M13-L13</f>
        <v>3.4155092592594305E-2</v>
      </c>
      <c r="P13" s="208">
        <f t="shared" si="5"/>
        <v>1.440972222222392E-2</v>
      </c>
      <c r="Q13" s="208">
        <f>N13-L13</f>
        <v>0.11469907407407587</v>
      </c>
      <c r="R13" s="220">
        <v>0.1388888888888889</v>
      </c>
      <c r="S13" s="221">
        <v>2</v>
      </c>
      <c r="T13" s="221">
        <v>3</v>
      </c>
      <c r="U13" s="221">
        <v>0</v>
      </c>
      <c r="V13" s="221">
        <v>2</v>
      </c>
      <c r="W13" s="238">
        <f>ROUND(MAX(W$2-I13*60*24*0.5+BD13,0),1)</f>
        <v>4.9000000000000004</v>
      </c>
      <c r="X13" s="238">
        <f>ROUND(MAX(X$2-P13*60*24*0.5+BR13,0),1)</f>
        <v>4.5999999999999996</v>
      </c>
      <c r="Y13" s="238">
        <f>ROUND(MAX(MIN(Y$2+(K13-J13)*60*24*0.2,$Y$2),0),1)</f>
        <v>4.5</v>
      </c>
      <c r="Z13" s="238">
        <f>ROUND(MAX(MIN($Z$2+(R13-Q13)*60*24*0.2,$Z$2),0),1)</f>
        <v>5</v>
      </c>
      <c r="AA13" s="221">
        <v>3.4</v>
      </c>
      <c r="AB13" s="221">
        <v>7.8</v>
      </c>
      <c r="AC13" s="221">
        <v>3.5</v>
      </c>
      <c r="AD13" s="221">
        <v>0</v>
      </c>
      <c r="AE13" s="221">
        <v>1</v>
      </c>
      <c r="AF13" s="238">
        <f>SUM(S13:T13)</f>
        <v>5</v>
      </c>
      <c r="AG13" s="221">
        <v>2.8</v>
      </c>
      <c r="AH13" s="221">
        <v>0.6</v>
      </c>
      <c r="AI13" s="221">
        <v>5</v>
      </c>
      <c r="AJ13" s="238">
        <f>SUM(U13:V13)</f>
        <v>2</v>
      </c>
      <c r="AK13" s="221">
        <v>1.5</v>
      </c>
      <c r="AL13" s="221">
        <v>5</v>
      </c>
      <c r="AM13" s="238">
        <f>SUM(W13:AL13)</f>
        <v>56.6</v>
      </c>
      <c r="AN13" s="243">
        <f t="shared" si="23"/>
        <v>19</v>
      </c>
      <c r="AO13" s="218"/>
      <c r="AP13" s="243">
        <f t="shared" si="24"/>
        <v>18</v>
      </c>
      <c r="AQ13" s="196">
        <v>12.3</v>
      </c>
      <c r="AR13" s="196">
        <v>13.3</v>
      </c>
      <c r="AS13" s="196">
        <v>14.75</v>
      </c>
      <c r="AT13" s="196"/>
      <c r="AU13" s="196"/>
      <c r="AV13" s="197">
        <f t="shared" si="17"/>
        <v>13.450000000000001</v>
      </c>
      <c r="AW13" s="196">
        <v>14.37</v>
      </c>
      <c r="AX13" s="196">
        <v>12.3</v>
      </c>
      <c r="AY13" s="196">
        <v>12.89</v>
      </c>
      <c r="AZ13" s="196"/>
      <c r="BB13" s="199">
        <f t="shared" si="18"/>
        <v>13.186666666666667</v>
      </c>
      <c r="BC13" s="200">
        <v>12</v>
      </c>
      <c r="BD13" s="200">
        <f t="shared" si="19"/>
        <v>0</v>
      </c>
      <c r="BE13" s="196">
        <v>10.7</v>
      </c>
      <c r="BF13" s="196">
        <v>12.5</v>
      </c>
      <c r="BG13" s="196">
        <v>11.5</v>
      </c>
      <c r="BH13" s="196"/>
      <c r="BJ13" s="199">
        <f t="shared" si="20"/>
        <v>11.566666666666668</v>
      </c>
      <c r="BK13" s="196">
        <v>12.25</v>
      </c>
      <c r="BL13" s="196">
        <v>10.25</v>
      </c>
      <c r="BM13" s="196">
        <v>11.1</v>
      </c>
      <c r="BN13" s="196"/>
      <c r="BO13" s="196"/>
      <c r="BP13" s="199">
        <f t="shared" si="21"/>
        <v>11.200000000000001</v>
      </c>
      <c r="BQ13" s="200">
        <v>11</v>
      </c>
      <c r="BR13" s="200">
        <f t="shared" si="22"/>
        <v>0</v>
      </c>
    </row>
    <row r="14" spans="1:70">
      <c r="A14" s="218" t="s">
        <v>100</v>
      </c>
      <c r="B14" s="218" t="s">
        <v>739</v>
      </c>
      <c r="C14" s="219" t="s">
        <v>671</v>
      </c>
      <c r="D14" s="219">
        <v>4</v>
      </c>
      <c r="E14" s="229">
        <v>0.563194444444444</v>
      </c>
      <c r="F14" s="220">
        <v>0.5894907407407407</v>
      </c>
      <c r="G14" s="220">
        <v>0.66527777777777775</v>
      </c>
      <c r="H14" s="208">
        <f>F14-E14</f>
        <v>2.6296296296296706E-2</v>
      </c>
      <c r="I14" s="208">
        <f t="shared" si="2"/>
        <v>1.0381944444444846E-2</v>
      </c>
      <c r="J14" s="208">
        <f>G14-E14</f>
        <v>0.10208333333333375</v>
      </c>
      <c r="K14" s="220">
        <v>0.10416666666666667</v>
      </c>
      <c r="L14" s="220">
        <v>0.34999999999999898</v>
      </c>
      <c r="M14" s="220">
        <v>0.38267361111111109</v>
      </c>
      <c r="N14" s="220">
        <v>0.4851273148148148</v>
      </c>
      <c r="O14" s="208">
        <f>M14-L14</f>
        <v>3.2673611111112111E-2</v>
      </c>
      <c r="P14" s="208">
        <f t="shared" si="5"/>
        <v>1.2928240740741725E-2</v>
      </c>
      <c r="Q14" s="208">
        <f>N14-L14</f>
        <v>0.13512731481481582</v>
      </c>
      <c r="R14" s="220">
        <v>0.1388888888888889</v>
      </c>
      <c r="S14" s="221">
        <v>2</v>
      </c>
      <c r="T14" s="221">
        <v>3</v>
      </c>
      <c r="U14" s="221">
        <v>0.5</v>
      </c>
      <c r="V14" s="221">
        <v>1.5</v>
      </c>
      <c r="W14" s="238">
        <f t="shared" si="15"/>
        <v>7.5</v>
      </c>
      <c r="X14" s="238">
        <f t="shared" si="16"/>
        <v>5.7</v>
      </c>
      <c r="Y14" s="238">
        <f>ROUND(MAX(MIN(Y$2+(K14-J14)*60*24*0.2,$Y$2),0),1)</f>
        <v>5</v>
      </c>
      <c r="Z14" s="238">
        <f>ROUND(MAX(MIN($Z$2+(R14-Q14)*60*24*0.2,$Z$2),0),1)</f>
        <v>5</v>
      </c>
      <c r="AA14" s="221">
        <v>8.5</v>
      </c>
      <c r="AB14" s="221">
        <v>7</v>
      </c>
      <c r="AC14" s="221">
        <v>4</v>
      </c>
      <c r="AD14" s="221">
        <v>4.8</v>
      </c>
      <c r="AE14" s="221">
        <v>1.8</v>
      </c>
      <c r="AF14" s="238">
        <f t="shared" si="9"/>
        <v>5</v>
      </c>
      <c r="AG14" s="221">
        <v>3</v>
      </c>
      <c r="AH14" s="221">
        <v>1.8</v>
      </c>
      <c r="AI14" s="221">
        <v>5.9</v>
      </c>
      <c r="AJ14" s="238">
        <f t="shared" si="10"/>
        <v>2</v>
      </c>
      <c r="AK14" s="221">
        <v>3</v>
      </c>
      <c r="AL14" s="221">
        <v>5</v>
      </c>
      <c r="AM14" s="238">
        <f t="shared" si="0"/>
        <v>75</v>
      </c>
      <c r="AN14" s="243">
        <f t="shared" si="23"/>
        <v>13</v>
      </c>
      <c r="AO14" s="218"/>
      <c r="AP14" s="243">
        <f t="shared" si="24"/>
        <v>14</v>
      </c>
      <c r="AQ14" s="196">
        <v>15.2</v>
      </c>
      <c r="AR14" s="196">
        <v>11.65</v>
      </c>
      <c r="AS14" s="196">
        <v>12.6</v>
      </c>
      <c r="AT14" s="196">
        <v>12.55</v>
      </c>
      <c r="AU14" s="196"/>
      <c r="AV14" s="197">
        <f t="shared" si="17"/>
        <v>13</v>
      </c>
      <c r="AW14" s="196">
        <v>12.64</v>
      </c>
      <c r="AX14" s="196">
        <v>15.03</v>
      </c>
      <c r="AY14" s="196">
        <v>12.37</v>
      </c>
      <c r="AZ14" s="196">
        <v>11.72</v>
      </c>
      <c r="BB14" s="199">
        <f t="shared" si="18"/>
        <v>12.94</v>
      </c>
      <c r="BC14" s="200">
        <v>12</v>
      </c>
      <c r="BD14" s="200">
        <f t="shared" si="19"/>
        <v>0</v>
      </c>
      <c r="BE14" s="196">
        <v>11</v>
      </c>
      <c r="BF14" s="196">
        <v>11.2</v>
      </c>
      <c r="BG14" s="196">
        <v>11.75</v>
      </c>
      <c r="BH14" s="196">
        <v>11.6</v>
      </c>
      <c r="BJ14" s="199">
        <f t="shared" si="20"/>
        <v>11.387500000000001</v>
      </c>
      <c r="BK14" s="196">
        <v>11.25</v>
      </c>
      <c r="BL14" s="196">
        <v>11.85</v>
      </c>
      <c r="BM14" s="196">
        <v>11.65</v>
      </c>
      <c r="BN14" s="196">
        <v>11.05</v>
      </c>
      <c r="BO14" s="196"/>
      <c r="BP14" s="199">
        <f t="shared" si="21"/>
        <v>11.45</v>
      </c>
      <c r="BQ14" s="200">
        <v>11</v>
      </c>
      <c r="BR14" s="200">
        <f t="shared" si="22"/>
        <v>0</v>
      </c>
    </row>
    <row r="15" spans="1:70">
      <c r="A15" s="218" t="s">
        <v>100</v>
      </c>
      <c r="B15" s="218" t="s">
        <v>714</v>
      </c>
      <c r="C15" s="219" t="s">
        <v>672</v>
      </c>
      <c r="D15" s="219">
        <v>3</v>
      </c>
      <c r="E15" s="220">
        <v>0.56388888888888899</v>
      </c>
      <c r="F15" s="220">
        <v>0.58560185185185187</v>
      </c>
      <c r="G15" s="220">
        <v>0.65331018518518513</v>
      </c>
      <c r="H15" s="208">
        <f>F15-E15</f>
        <v>2.1712962962962878E-2</v>
      </c>
      <c r="I15" s="208">
        <f t="shared" si="2"/>
        <v>5.7986111111110183E-3</v>
      </c>
      <c r="J15" s="208">
        <f>G15-E15</f>
        <v>8.9421296296296138E-2</v>
      </c>
      <c r="K15" s="220">
        <v>0.10416666666666667</v>
      </c>
      <c r="L15" s="220">
        <v>0.345138888888888</v>
      </c>
      <c r="M15" s="220">
        <v>0.3729513888888889</v>
      </c>
      <c r="N15" s="220">
        <v>0.47424768518518517</v>
      </c>
      <c r="O15" s="208">
        <f>M15-L15</f>
        <v>2.7812500000000906E-2</v>
      </c>
      <c r="P15" s="208">
        <f t="shared" si="5"/>
        <v>8.0671296296305206E-3</v>
      </c>
      <c r="Q15" s="208">
        <f>N15-L15</f>
        <v>0.12910879629629718</v>
      </c>
      <c r="R15" s="220">
        <v>0.1388888888888889</v>
      </c>
      <c r="S15" s="221">
        <v>3</v>
      </c>
      <c r="T15" s="221">
        <v>3</v>
      </c>
      <c r="U15" s="221">
        <v>1</v>
      </c>
      <c r="V15" s="221">
        <v>1.7</v>
      </c>
      <c r="W15" s="238">
        <f t="shared" si="15"/>
        <v>10.8</v>
      </c>
      <c r="X15" s="238">
        <f t="shared" si="16"/>
        <v>9.1999999999999993</v>
      </c>
      <c r="Y15" s="238">
        <f>ROUND(MAX(MIN(Y$2+(K15-J15)*60*24*0.2,$Y$2),0),1)</f>
        <v>5</v>
      </c>
      <c r="Z15" s="238">
        <f>ROUND(MAX(MIN($Z$2+(R15-Q15)*60*24*0.2,$Z$2),0),1)</f>
        <v>5</v>
      </c>
      <c r="AA15" s="221">
        <v>9.6</v>
      </c>
      <c r="AB15" s="221">
        <v>8</v>
      </c>
      <c r="AC15" s="221">
        <v>4</v>
      </c>
      <c r="AD15" s="221">
        <v>4.2</v>
      </c>
      <c r="AE15" s="221">
        <v>1.6</v>
      </c>
      <c r="AF15" s="238">
        <f t="shared" si="9"/>
        <v>6</v>
      </c>
      <c r="AG15" s="221">
        <v>4</v>
      </c>
      <c r="AH15" s="221">
        <v>1.8</v>
      </c>
      <c r="AI15" s="221">
        <v>5.7</v>
      </c>
      <c r="AJ15" s="238">
        <f t="shared" si="10"/>
        <v>2.7</v>
      </c>
      <c r="AK15" s="221">
        <v>3</v>
      </c>
      <c r="AL15" s="221">
        <v>5</v>
      </c>
      <c r="AM15" s="238">
        <f t="shared" si="0"/>
        <v>85.600000000000009</v>
      </c>
      <c r="AN15" s="243">
        <f t="shared" si="23"/>
        <v>6</v>
      </c>
      <c r="AO15" s="218"/>
      <c r="AP15" s="243">
        <f t="shared" si="24"/>
        <v>7</v>
      </c>
      <c r="AQ15" s="196">
        <v>13</v>
      </c>
      <c r="AR15" s="196">
        <v>12.65</v>
      </c>
      <c r="AS15" s="196">
        <v>13.35</v>
      </c>
      <c r="AT15" s="196"/>
      <c r="AU15" s="196"/>
      <c r="AV15" s="197">
        <f t="shared" si="17"/>
        <v>13</v>
      </c>
      <c r="AW15" s="196">
        <v>12.92</v>
      </c>
      <c r="AX15" s="196">
        <v>12.67</v>
      </c>
      <c r="AY15" s="196">
        <v>13.28</v>
      </c>
      <c r="AZ15" s="196"/>
      <c r="BB15" s="199">
        <f t="shared" si="18"/>
        <v>12.956666666666665</v>
      </c>
      <c r="BC15" s="200">
        <v>12</v>
      </c>
      <c r="BD15" s="200">
        <f t="shared" si="19"/>
        <v>0</v>
      </c>
      <c r="BE15" s="196">
        <v>11.7</v>
      </c>
      <c r="BF15" s="196">
        <v>11.2</v>
      </c>
      <c r="BG15" s="196">
        <v>12.1</v>
      </c>
      <c r="BH15" s="196"/>
      <c r="BJ15" s="199">
        <f t="shared" si="20"/>
        <v>11.666666666666666</v>
      </c>
      <c r="BK15" s="196">
        <v>11.6</v>
      </c>
      <c r="BL15" s="196">
        <v>10.95</v>
      </c>
      <c r="BM15" s="196">
        <v>12</v>
      </c>
      <c r="BN15" s="196"/>
      <c r="BO15" s="196"/>
      <c r="BP15" s="199">
        <f t="shared" si="21"/>
        <v>11.516666666666666</v>
      </c>
      <c r="BQ15" s="200">
        <v>11</v>
      </c>
      <c r="BR15" s="200">
        <f t="shared" si="22"/>
        <v>0</v>
      </c>
    </row>
    <row r="16" spans="1:70">
      <c r="A16" s="218" t="s">
        <v>100</v>
      </c>
      <c r="B16" s="218" t="s">
        <v>708</v>
      </c>
      <c r="C16" s="219" t="s">
        <v>673</v>
      </c>
      <c r="D16" s="219">
        <v>3</v>
      </c>
      <c r="E16" s="229">
        <v>0.56458333333333299</v>
      </c>
      <c r="F16" s="220">
        <v>0.58348379629629632</v>
      </c>
      <c r="G16" s="220">
        <v>0.65810185185185188</v>
      </c>
      <c r="H16" s="208">
        <f>F16-E16</f>
        <v>1.8900462962963327E-2</v>
      </c>
      <c r="I16" s="208">
        <f t="shared" si="2"/>
        <v>2.9861111111114669E-3</v>
      </c>
      <c r="J16" s="208">
        <f>G16-E16</f>
        <v>9.3518518518518889E-2</v>
      </c>
      <c r="K16" s="220">
        <v>0.10416666666666667</v>
      </c>
      <c r="L16" s="220">
        <v>0.34166666666666601</v>
      </c>
      <c r="M16" s="220">
        <v>0.3652199074074074</v>
      </c>
      <c r="N16" s="220">
        <v>0.47951388888888885</v>
      </c>
      <c r="O16" s="208">
        <f>M16-L16</f>
        <v>2.3553240740741388E-2</v>
      </c>
      <c r="P16" s="208">
        <f t="shared" si="5"/>
        <v>3.8078703703710026E-3</v>
      </c>
      <c r="Q16" s="208">
        <f>N16-L16</f>
        <v>0.13784722222222284</v>
      </c>
      <c r="R16" s="220">
        <v>0.1388888888888889</v>
      </c>
      <c r="S16" s="221">
        <v>3</v>
      </c>
      <c r="T16" s="221">
        <v>4</v>
      </c>
      <c r="U16" s="221">
        <v>1</v>
      </c>
      <c r="V16" s="221">
        <v>3</v>
      </c>
      <c r="W16" s="238">
        <f t="shared" si="15"/>
        <v>12.8</v>
      </c>
      <c r="X16" s="238">
        <f t="shared" si="16"/>
        <v>12.3</v>
      </c>
      <c r="Y16" s="238">
        <f>ROUND(MAX(MIN(Y$2+(K16-J16)*60*24*0.2,$Y$2),0),1)</f>
        <v>5</v>
      </c>
      <c r="Z16" s="238">
        <f>ROUND(MAX(MIN($Z$2+(R16-Q16)*60*24*0.2,$Z$2),0),1)</f>
        <v>5</v>
      </c>
      <c r="AA16" s="221">
        <v>10</v>
      </c>
      <c r="AB16" s="221">
        <v>8</v>
      </c>
      <c r="AC16" s="221">
        <v>4</v>
      </c>
      <c r="AD16" s="221">
        <v>4.4000000000000004</v>
      </c>
      <c r="AE16" s="221">
        <v>2</v>
      </c>
      <c r="AF16" s="238">
        <f t="shared" si="9"/>
        <v>7</v>
      </c>
      <c r="AG16" s="221">
        <v>4</v>
      </c>
      <c r="AH16" s="221">
        <v>2</v>
      </c>
      <c r="AI16" s="221">
        <v>6</v>
      </c>
      <c r="AJ16" s="238">
        <f t="shared" si="10"/>
        <v>4</v>
      </c>
      <c r="AK16" s="221">
        <v>3</v>
      </c>
      <c r="AL16" s="221">
        <v>5</v>
      </c>
      <c r="AM16" s="238">
        <f t="shared" si="0"/>
        <v>94.5</v>
      </c>
      <c r="AN16" s="243">
        <f t="shared" si="23"/>
        <v>1</v>
      </c>
      <c r="AO16" s="218" t="s">
        <v>747</v>
      </c>
      <c r="AP16" s="243">
        <f t="shared" si="24"/>
        <v>2</v>
      </c>
      <c r="AQ16" s="196">
        <v>11.35</v>
      </c>
      <c r="AR16" s="196">
        <v>10.95</v>
      </c>
      <c r="AS16" s="196">
        <v>12.45</v>
      </c>
      <c r="AT16" s="196">
        <v>13.4</v>
      </c>
      <c r="AU16" s="196"/>
      <c r="AV16" s="197">
        <f t="shared" si="17"/>
        <v>12.0375</v>
      </c>
      <c r="AW16" s="196">
        <v>11.04</v>
      </c>
      <c r="AX16" s="196">
        <v>12.58</v>
      </c>
      <c r="AY16" s="196">
        <v>11.34</v>
      </c>
      <c r="AZ16" s="196">
        <v>13.45</v>
      </c>
      <c r="BB16" s="199">
        <f t="shared" si="18"/>
        <v>12.102499999999999</v>
      </c>
      <c r="BC16" s="200">
        <v>12</v>
      </c>
      <c r="BD16" s="200">
        <f t="shared" si="19"/>
        <v>0</v>
      </c>
      <c r="BE16" s="196">
        <v>10.9</v>
      </c>
      <c r="BF16" s="196">
        <v>11.1</v>
      </c>
      <c r="BG16" s="196">
        <v>11.35</v>
      </c>
      <c r="BH16" s="196"/>
      <c r="BJ16" s="199">
        <f t="shared" si="20"/>
        <v>11.116666666666667</v>
      </c>
      <c r="BK16" s="196">
        <v>12.5</v>
      </c>
      <c r="BL16" s="196">
        <v>10.9</v>
      </c>
      <c r="BM16" s="196">
        <v>10.1</v>
      </c>
      <c r="BN16" s="196"/>
      <c r="BO16" s="196"/>
      <c r="BP16" s="199">
        <f t="shared" si="21"/>
        <v>11.166666666666666</v>
      </c>
      <c r="BQ16" s="200">
        <v>11</v>
      </c>
      <c r="BR16" s="200">
        <f t="shared" si="22"/>
        <v>0</v>
      </c>
    </row>
    <row r="17" spans="1:70">
      <c r="A17" s="218" t="s">
        <v>100</v>
      </c>
      <c r="B17" s="218" t="s">
        <v>713</v>
      </c>
      <c r="C17" s="219" t="s">
        <v>674</v>
      </c>
      <c r="D17" s="219">
        <v>4</v>
      </c>
      <c r="E17" s="220">
        <v>0.56527777777777799</v>
      </c>
      <c r="F17" s="220">
        <v>0.5862384259259259</v>
      </c>
      <c r="G17" s="220">
        <v>0.65449074074074076</v>
      </c>
      <c r="H17" s="208">
        <f t="shared" si="1"/>
        <v>2.0960648148147909E-2</v>
      </c>
      <c r="I17" s="208">
        <f t="shared" si="2"/>
        <v>5.0462962962960489E-3</v>
      </c>
      <c r="J17" s="208">
        <f t="shared" si="3"/>
        <v>8.9212962962962772E-2</v>
      </c>
      <c r="K17" s="220">
        <v>0.10416666666666667</v>
      </c>
      <c r="L17" s="220">
        <v>0.343749999999999</v>
      </c>
      <c r="M17" s="220">
        <v>0.3707523148148148</v>
      </c>
      <c r="N17" s="220">
        <v>0.4611574074074074</v>
      </c>
      <c r="O17" s="208">
        <f t="shared" si="4"/>
        <v>2.7002314814815798E-2</v>
      </c>
      <c r="P17" s="208">
        <f t="shared" si="5"/>
        <v>7.2569444444454123E-3</v>
      </c>
      <c r="Q17" s="208">
        <f t="shared" si="6"/>
        <v>0.1174074074074084</v>
      </c>
      <c r="R17" s="220">
        <v>0.1388888888888889</v>
      </c>
      <c r="S17" s="221">
        <v>1</v>
      </c>
      <c r="T17" s="221">
        <v>1</v>
      </c>
      <c r="U17" s="221">
        <v>0.5</v>
      </c>
      <c r="V17" s="221">
        <v>2</v>
      </c>
      <c r="W17" s="238">
        <f t="shared" si="15"/>
        <v>11.4</v>
      </c>
      <c r="X17" s="238">
        <f t="shared" si="16"/>
        <v>9.8000000000000007</v>
      </c>
      <c r="Y17" s="238">
        <f t="shared" si="7"/>
        <v>5</v>
      </c>
      <c r="Z17" s="238">
        <f t="shared" si="8"/>
        <v>5</v>
      </c>
      <c r="AA17" s="221">
        <v>8</v>
      </c>
      <c r="AB17" s="221">
        <v>8</v>
      </c>
      <c r="AC17" s="221">
        <v>4</v>
      </c>
      <c r="AD17" s="221">
        <v>3.3</v>
      </c>
      <c r="AE17" s="221">
        <v>1.4</v>
      </c>
      <c r="AF17" s="238">
        <f t="shared" si="9"/>
        <v>2</v>
      </c>
      <c r="AG17" s="221">
        <v>3.4</v>
      </c>
      <c r="AH17" s="221">
        <v>1.8</v>
      </c>
      <c r="AI17" s="221">
        <v>4</v>
      </c>
      <c r="AJ17" s="238">
        <f t="shared" si="10"/>
        <v>2.5</v>
      </c>
      <c r="AK17" s="221">
        <v>1.8</v>
      </c>
      <c r="AL17" s="221">
        <v>5</v>
      </c>
      <c r="AM17" s="238">
        <f t="shared" si="0"/>
        <v>76.399999999999991</v>
      </c>
      <c r="AN17" s="243">
        <f t="shared" si="23"/>
        <v>11</v>
      </c>
      <c r="AO17" s="218"/>
      <c r="AP17" s="243">
        <f t="shared" si="24"/>
        <v>5</v>
      </c>
      <c r="AQ17" s="196">
        <v>13.3</v>
      </c>
      <c r="AR17" s="196">
        <v>12.9</v>
      </c>
      <c r="AS17" s="196">
        <v>11.9</v>
      </c>
      <c r="AT17" s="196">
        <v>11.3</v>
      </c>
      <c r="AU17" s="196"/>
      <c r="AV17" s="197">
        <f t="shared" si="17"/>
        <v>12.350000000000001</v>
      </c>
      <c r="AW17" s="196">
        <v>13.36</v>
      </c>
      <c r="AX17" s="196">
        <v>11.32</v>
      </c>
      <c r="AY17" s="196">
        <v>11.92</v>
      </c>
      <c r="AZ17" s="196">
        <v>12.99</v>
      </c>
      <c r="BB17" s="199">
        <f t="shared" si="18"/>
        <v>12.397500000000001</v>
      </c>
      <c r="BC17" s="200">
        <v>12</v>
      </c>
      <c r="BD17" s="200">
        <f t="shared" si="19"/>
        <v>0</v>
      </c>
      <c r="BE17" s="196">
        <v>12.35</v>
      </c>
      <c r="BF17" s="196">
        <v>11.9</v>
      </c>
      <c r="BG17" s="196">
        <v>10.95</v>
      </c>
      <c r="BH17" s="196">
        <v>10.65</v>
      </c>
      <c r="BJ17" s="199">
        <f t="shared" si="20"/>
        <v>11.4625</v>
      </c>
      <c r="BK17" s="196">
        <v>12.3</v>
      </c>
      <c r="BL17" s="196">
        <v>11.9</v>
      </c>
      <c r="BM17" s="196">
        <v>10.45</v>
      </c>
      <c r="BN17" s="196">
        <v>11</v>
      </c>
      <c r="BO17" s="196"/>
      <c r="BP17" s="199">
        <f t="shared" si="21"/>
        <v>11.412500000000001</v>
      </c>
      <c r="BQ17" s="200">
        <v>11</v>
      </c>
      <c r="BR17" s="200">
        <f t="shared" si="22"/>
        <v>0</v>
      </c>
    </row>
    <row r="18" spans="1:70">
      <c r="A18" s="218" t="s">
        <v>100</v>
      </c>
      <c r="B18" s="218" t="s">
        <v>710</v>
      </c>
      <c r="C18" s="219" t="s">
        <v>675</v>
      </c>
      <c r="D18" s="219">
        <v>4</v>
      </c>
      <c r="E18" s="229">
        <v>0.56597222222222199</v>
      </c>
      <c r="F18" s="220">
        <v>0.58605324074074072</v>
      </c>
      <c r="G18" s="220">
        <v>0.65831018518518525</v>
      </c>
      <c r="H18" s="208">
        <f t="shared" si="1"/>
        <v>2.0081018518518734E-2</v>
      </c>
      <c r="I18" s="208">
        <f t="shared" si="2"/>
        <v>4.1666666666668739E-3</v>
      </c>
      <c r="J18" s="208">
        <f t="shared" si="3"/>
        <v>9.233796296296326E-2</v>
      </c>
      <c r="K18" s="220">
        <v>0.10416666666666667</v>
      </c>
      <c r="L18" s="220">
        <v>0.34236111111111101</v>
      </c>
      <c r="M18" s="220">
        <v>0.36732638888888891</v>
      </c>
      <c r="N18" s="220">
        <v>0.46915509259259264</v>
      </c>
      <c r="O18" s="208">
        <f t="shared" si="4"/>
        <v>2.4965277777777906E-2</v>
      </c>
      <c r="P18" s="208">
        <f t="shared" si="5"/>
        <v>5.2199074074075202E-3</v>
      </c>
      <c r="Q18" s="208">
        <f t="shared" si="6"/>
        <v>0.12679398148148163</v>
      </c>
      <c r="R18" s="220">
        <v>0.1388888888888889</v>
      </c>
      <c r="S18" s="221">
        <v>3</v>
      </c>
      <c r="T18" s="221">
        <v>3</v>
      </c>
      <c r="U18" s="221">
        <v>1</v>
      </c>
      <c r="V18" s="221">
        <v>1.5</v>
      </c>
      <c r="W18" s="238">
        <f t="shared" si="15"/>
        <v>12</v>
      </c>
      <c r="X18" s="238">
        <f t="shared" si="16"/>
        <v>11.2</v>
      </c>
      <c r="Y18" s="238">
        <f t="shared" si="7"/>
        <v>5</v>
      </c>
      <c r="Z18" s="238">
        <f t="shared" si="8"/>
        <v>5</v>
      </c>
      <c r="AA18" s="221">
        <v>10</v>
      </c>
      <c r="AB18" s="221">
        <v>8</v>
      </c>
      <c r="AC18" s="221">
        <v>4</v>
      </c>
      <c r="AD18" s="221">
        <v>3.7</v>
      </c>
      <c r="AE18" s="221">
        <v>1.6</v>
      </c>
      <c r="AF18" s="238">
        <f t="shared" si="9"/>
        <v>6</v>
      </c>
      <c r="AG18" s="221">
        <v>4</v>
      </c>
      <c r="AH18" s="221">
        <v>1.6</v>
      </c>
      <c r="AI18" s="221">
        <v>6</v>
      </c>
      <c r="AJ18" s="238">
        <f t="shared" si="10"/>
        <v>2.5</v>
      </c>
      <c r="AK18" s="221">
        <v>3</v>
      </c>
      <c r="AL18" s="221">
        <v>5</v>
      </c>
      <c r="AM18" s="238">
        <f t="shared" si="0"/>
        <v>88.6</v>
      </c>
      <c r="AN18" s="243">
        <f t="shared" si="23"/>
        <v>4</v>
      </c>
      <c r="AO18" s="218"/>
      <c r="AP18" s="243">
        <f t="shared" si="24"/>
        <v>3</v>
      </c>
      <c r="AQ18" s="196">
        <v>11.8</v>
      </c>
      <c r="AR18" s="196">
        <v>12.45</v>
      </c>
      <c r="AS18" s="196">
        <v>12.1</v>
      </c>
      <c r="AT18" s="196">
        <v>13.55</v>
      </c>
      <c r="AU18" s="196"/>
      <c r="AV18" s="197">
        <f t="shared" si="17"/>
        <v>12.475000000000001</v>
      </c>
      <c r="AW18" s="196">
        <v>11.84</v>
      </c>
      <c r="AX18" s="196">
        <v>12.05</v>
      </c>
      <c r="AY18" s="196">
        <v>13.55</v>
      </c>
      <c r="AZ18" s="196">
        <v>12.41</v>
      </c>
      <c r="BB18" s="199">
        <f t="shared" si="18"/>
        <v>12.462499999999999</v>
      </c>
      <c r="BC18" s="200">
        <v>12</v>
      </c>
      <c r="BD18" s="200">
        <f t="shared" si="19"/>
        <v>0</v>
      </c>
      <c r="BE18" s="196">
        <v>10.85</v>
      </c>
      <c r="BF18" s="196">
        <v>10.9</v>
      </c>
      <c r="BG18" s="196">
        <v>11.2</v>
      </c>
      <c r="BH18" s="196">
        <v>11.35</v>
      </c>
      <c r="BJ18" s="199">
        <f t="shared" si="20"/>
        <v>11.075000000000001</v>
      </c>
      <c r="BK18" s="196">
        <v>10.95</v>
      </c>
      <c r="BL18" s="196">
        <v>10.9</v>
      </c>
      <c r="BM18" s="196">
        <v>11.2</v>
      </c>
      <c r="BN18" s="196">
        <v>11.4</v>
      </c>
      <c r="BO18" s="196"/>
      <c r="BP18" s="199">
        <f t="shared" si="21"/>
        <v>11.112499999999999</v>
      </c>
      <c r="BQ18" s="200">
        <v>11</v>
      </c>
      <c r="BR18" s="200">
        <f t="shared" si="22"/>
        <v>0</v>
      </c>
    </row>
    <row r="19" spans="1:70">
      <c r="A19" s="218" t="s">
        <v>100</v>
      </c>
      <c r="B19" s="218" t="s">
        <v>742</v>
      </c>
      <c r="C19" s="219" t="s">
        <v>676</v>
      </c>
      <c r="D19" s="219">
        <v>5</v>
      </c>
      <c r="E19" s="220">
        <v>0.56666666666666698</v>
      </c>
      <c r="F19" s="220">
        <v>0.59704861111111118</v>
      </c>
      <c r="G19" s="220">
        <v>0.67690972222222223</v>
      </c>
      <c r="H19" s="208">
        <f t="shared" si="1"/>
        <v>3.0381944444444198E-2</v>
      </c>
      <c r="I19" s="208">
        <f t="shared" si="2"/>
        <v>1.4467592592592338E-2</v>
      </c>
      <c r="J19" s="208">
        <f t="shared" si="3"/>
        <v>0.11024305555555525</v>
      </c>
      <c r="K19" s="220">
        <v>0.10416666666666667</v>
      </c>
      <c r="L19" s="220">
        <v>0.35347222222222102</v>
      </c>
      <c r="M19" s="220">
        <v>0.39640046296296294</v>
      </c>
      <c r="N19" s="220">
        <v>0.49184027777777778</v>
      </c>
      <c r="O19" s="208">
        <f t="shared" si="4"/>
        <v>4.2928240740741919E-2</v>
      </c>
      <c r="P19" s="208">
        <f t="shared" si="5"/>
        <v>2.3182870370371533E-2</v>
      </c>
      <c r="Q19" s="208">
        <f t="shared" si="6"/>
        <v>0.13836805555555676</v>
      </c>
      <c r="R19" s="220">
        <v>0.1388888888888889</v>
      </c>
      <c r="S19" s="221">
        <v>2</v>
      </c>
      <c r="T19" s="221">
        <v>3</v>
      </c>
      <c r="U19" s="221">
        <v>0.5</v>
      </c>
      <c r="V19" s="221">
        <v>2.5</v>
      </c>
      <c r="W19" s="238">
        <f t="shared" si="15"/>
        <v>4.5999999999999996</v>
      </c>
      <c r="X19" s="238">
        <f>ROUND(MAX(X$2-P19*60*24*0.5+BR19,0),1)</f>
        <v>0</v>
      </c>
      <c r="Y19" s="238">
        <f t="shared" si="7"/>
        <v>3.3</v>
      </c>
      <c r="Z19" s="238">
        <f t="shared" si="8"/>
        <v>5</v>
      </c>
      <c r="AA19" s="221">
        <v>8.6</v>
      </c>
      <c r="AB19" s="221">
        <v>5.3</v>
      </c>
      <c r="AC19" s="221">
        <v>4</v>
      </c>
      <c r="AD19" s="221">
        <v>2.2999999999999998</v>
      </c>
      <c r="AE19" s="221">
        <v>1</v>
      </c>
      <c r="AF19" s="238">
        <f t="shared" si="9"/>
        <v>5</v>
      </c>
      <c r="AG19" s="221">
        <v>3.6</v>
      </c>
      <c r="AH19" s="221">
        <v>1.2</v>
      </c>
      <c r="AI19" s="221">
        <v>5.8</v>
      </c>
      <c r="AJ19" s="238">
        <f t="shared" si="10"/>
        <v>3</v>
      </c>
      <c r="AK19" s="221">
        <v>3</v>
      </c>
      <c r="AL19" s="221">
        <v>5</v>
      </c>
      <c r="AM19" s="238">
        <f t="shared" si="0"/>
        <v>60.7</v>
      </c>
      <c r="AN19" s="243">
        <f t="shared" si="23"/>
        <v>16</v>
      </c>
      <c r="AO19" s="218"/>
      <c r="AP19" s="243">
        <f t="shared" si="24"/>
        <v>19</v>
      </c>
      <c r="AQ19" s="196">
        <v>13.1</v>
      </c>
      <c r="AR19" s="196">
        <v>11.35</v>
      </c>
      <c r="AS19" s="196">
        <v>14.25</v>
      </c>
      <c r="AT19" s="196">
        <v>10.75</v>
      </c>
      <c r="AU19" s="196">
        <v>12.2</v>
      </c>
      <c r="AV19" s="197">
        <f t="shared" si="17"/>
        <v>12.330000000000002</v>
      </c>
      <c r="AW19" s="196">
        <v>13.17</v>
      </c>
      <c r="AX19" s="196">
        <v>11.23</v>
      </c>
      <c r="AY19" s="196">
        <v>12.73</v>
      </c>
      <c r="AZ19" s="196">
        <v>12.1</v>
      </c>
      <c r="BA19" s="196">
        <v>12.12</v>
      </c>
      <c r="BB19" s="199">
        <f>AVERAGE(AW19:BA19)</f>
        <v>12.27</v>
      </c>
      <c r="BC19" s="200">
        <v>12</v>
      </c>
      <c r="BD19" s="200">
        <f t="shared" si="19"/>
        <v>0</v>
      </c>
      <c r="BE19" s="196">
        <v>12.7</v>
      </c>
      <c r="BF19" s="196">
        <v>10.7</v>
      </c>
      <c r="BG19" s="196">
        <v>11.1</v>
      </c>
      <c r="BH19" s="196">
        <v>10.75</v>
      </c>
      <c r="BI19" s="196">
        <v>11.15</v>
      </c>
      <c r="BJ19" s="199">
        <f>AVERAGE(BE19:BI19)</f>
        <v>11.28</v>
      </c>
      <c r="BK19" s="196">
        <v>12.85</v>
      </c>
      <c r="BL19" s="196">
        <v>11.75</v>
      </c>
      <c r="BM19" s="196">
        <v>10.95</v>
      </c>
      <c r="BN19" s="196">
        <v>6.2</v>
      </c>
      <c r="BO19" s="196">
        <v>12.2</v>
      </c>
      <c r="BP19" s="199">
        <f>AVERAGE(BK19:BO19)</f>
        <v>10.790000000000001</v>
      </c>
      <c r="BQ19" s="200">
        <v>11</v>
      </c>
      <c r="BR19" s="200">
        <f t="shared" si="22"/>
        <v>-0.20999999999999908</v>
      </c>
    </row>
    <row r="20" spans="1:70">
      <c r="A20" s="218" t="s">
        <v>100</v>
      </c>
      <c r="B20" s="218" t="s">
        <v>719</v>
      </c>
      <c r="C20" s="219" t="s">
        <v>677</v>
      </c>
      <c r="D20" s="219">
        <v>5</v>
      </c>
      <c r="E20" s="229">
        <v>0.56736111111111098</v>
      </c>
      <c r="F20" s="220">
        <v>0.58807870370370374</v>
      </c>
      <c r="G20" s="220">
        <v>0.66724537037037035</v>
      </c>
      <c r="H20" s="208">
        <f t="shared" si="1"/>
        <v>2.071759259259276E-2</v>
      </c>
      <c r="I20" s="208">
        <f t="shared" si="2"/>
        <v>4.8032407407408995E-3</v>
      </c>
      <c r="J20" s="208">
        <f t="shared" si="3"/>
        <v>9.9884259259259367E-2</v>
      </c>
      <c r="K20" s="220">
        <v>0.10416666666666667</v>
      </c>
      <c r="L20" s="220">
        <v>0.343055555555555</v>
      </c>
      <c r="M20" s="220">
        <v>0.37054398148148149</v>
      </c>
      <c r="N20" s="220">
        <v>0.48194444444444445</v>
      </c>
      <c r="O20" s="208">
        <f t="shared" si="4"/>
        <v>2.7488425925926485E-2</v>
      </c>
      <c r="P20" s="208">
        <f t="shared" si="5"/>
        <v>7.7430555555560998E-3</v>
      </c>
      <c r="Q20" s="208">
        <f t="shared" si="6"/>
        <v>0.13888888888888945</v>
      </c>
      <c r="R20" s="220">
        <v>0.1388888888888889</v>
      </c>
      <c r="S20" s="221">
        <v>2</v>
      </c>
      <c r="T20" s="221">
        <v>4</v>
      </c>
      <c r="U20" s="221">
        <v>1</v>
      </c>
      <c r="V20" s="221">
        <v>3</v>
      </c>
      <c r="W20" s="238">
        <f t="shared" si="15"/>
        <v>11.5</v>
      </c>
      <c r="X20" s="238">
        <f t="shared" si="16"/>
        <v>9.4</v>
      </c>
      <c r="Y20" s="238">
        <f t="shared" si="7"/>
        <v>5</v>
      </c>
      <c r="Z20" s="238">
        <f t="shared" si="8"/>
        <v>5</v>
      </c>
      <c r="AA20" s="221">
        <v>7.5</v>
      </c>
      <c r="AB20" s="221">
        <v>8</v>
      </c>
      <c r="AC20" s="221">
        <v>4</v>
      </c>
      <c r="AD20" s="221">
        <v>4.7</v>
      </c>
      <c r="AE20" s="221">
        <v>1.4</v>
      </c>
      <c r="AF20" s="238">
        <f t="shared" si="9"/>
        <v>6</v>
      </c>
      <c r="AG20" s="221">
        <v>3.6</v>
      </c>
      <c r="AH20" s="221">
        <v>1.2</v>
      </c>
      <c r="AI20" s="221">
        <v>6</v>
      </c>
      <c r="AJ20" s="238">
        <f t="shared" si="10"/>
        <v>4</v>
      </c>
      <c r="AK20" s="221">
        <v>1.8</v>
      </c>
      <c r="AL20" s="221">
        <v>5</v>
      </c>
      <c r="AM20" s="238">
        <f t="shared" si="0"/>
        <v>84.1</v>
      </c>
      <c r="AN20" s="243">
        <f t="shared" si="23"/>
        <v>7</v>
      </c>
      <c r="AO20" s="218"/>
      <c r="AP20" s="243">
        <f t="shared" si="24"/>
        <v>4</v>
      </c>
      <c r="AQ20" s="196">
        <v>12.75</v>
      </c>
      <c r="AR20" s="196">
        <v>12.3</v>
      </c>
      <c r="AS20" s="196">
        <v>11.75</v>
      </c>
      <c r="AT20" s="196">
        <v>12.85</v>
      </c>
      <c r="AU20" s="196">
        <v>12.35</v>
      </c>
      <c r="AV20" s="197">
        <f t="shared" si="17"/>
        <v>12.4</v>
      </c>
      <c r="AW20" s="196">
        <v>13.35</v>
      </c>
      <c r="AX20" s="196">
        <v>12.76</v>
      </c>
      <c r="AY20" s="196">
        <v>12.19</v>
      </c>
      <c r="AZ20" s="196">
        <v>11.88</v>
      </c>
      <c r="BA20" s="196">
        <v>11.75</v>
      </c>
      <c r="BB20" s="199">
        <f>AVERAGE(AW20:BA20)</f>
        <v>12.385999999999999</v>
      </c>
      <c r="BC20" s="200">
        <v>12</v>
      </c>
      <c r="BD20" s="200">
        <f t="shared" si="19"/>
        <v>0</v>
      </c>
      <c r="BE20" s="196">
        <v>12.05</v>
      </c>
      <c r="BF20" s="196">
        <v>11.5</v>
      </c>
      <c r="BG20" s="196">
        <v>11.2</v>
      </c>
      <c r="BH20" s="196">
        <v>10.9</v>
      </c>
      <c r="BI20" s="196">
        <v>11</v>
      </c>
      <c r="BJ20" s="199">
        <f>AVERAGE(BE20:BI20)</f>
        <v>11.33</v>
      </c>
      <c r="BK20" s="196">
        <v>12.05</v>
      </c>
      <c r="BL20" s="196">
        <v>11</v>
      </c>
      <c r="BM20" s="196">
        <v>11.2</v>
      </c>
      <c r="BN20" s="196">
        <v>10.9</v>
      </c>
      <c r="BO20" s="196">
        <v>11.3</v>
      </c>
      <c r="BP20" s="199">
        <f>AVERAGE(BK20:BO20)</f>
        <v>11.290000000000001</v>
      </c>
      <c r="BQ20" s="200">
        <v>11</v>
      </c>
      <c r="BR20" s="200">
        <f t="shared" si="22"/>
        <v>0</v>
      </c>
    </row>
    <row r="21" spans="1:70">
      <c r="A21" s="218" t="s">
        <v>100</v>
      </c>
      <c r="B21" s="218" t="s">
        <v>716</v>
      </c>
      <c r="C21" s="219" t="s">
        <v>678</v>
      </c>
      <c r="D21" s="219">
        <v>3</v>
      </c>
      <c r="E21" s="220">
        <v>0.56805555555555598</v>
      </c>
      <c r="F21" s="220">
        <v>0.59174768518518517</v>
      </c>
      <c r="G21" s="220">
        <v>0.66251157407407402</v>
      </c>
      <c r="H21" s="208">
        <f t="shared" si="1"/>
        <v>2.3692129629629188E-2</v>
      </c>
      <c r="I21" s="208">
        <f t="shared" si="2"/>
        <v>7.7777777777773283E-3</v>
      </c>
      <c r="J21" s="208">
        <f t="shared" si="3"/>
        <v>9.4456018518518037E-2</v>
      </c>
      <c r="K21" s="220">
        <v>0.10416666666666667</v>
      </c>
      <c r="L21" s="220">
        <v>0.34722222222222099</v>
      </c>
      <c r="M21" s="220">
        <v>0.37256944444444445</v>
      </c>
      <c r="N21" s="220">
        <v>0.46930555555555559</v>
      </c>
      <c r="O21" s="208">
        <f t="shared" si="4"/>
        <v>2.5347222222223464E-2</v>
      </c>
      <c r="P21" s="208">
        <f t="shared" si="5"/>
        <v>5.6018518518530791E-3</v>
      </c>
      <c r="Q21" s="208">
        <f t="shared" si="6"/>
        <v>0.1220833333333346</v>
      </c>
      <c r="R21" s="220">
        <v>0.1388888888888889</v>
      </c>
      <c r="S21" s="221">
        <v>3</v>
      </c>
      <c r="T21" s="221">
        <v>2</v>
      </c>
      <c r="U21" s="221">
        <v>1</v>
      </c>
      <c r="V21" s="221">
        <v>2.5</v>
      </c>
      <c r="W21" s="238">
        <f t="shared" si="15"/>
        <v>9.4</v>
      </c>
      <c r="X21" s="238">
        <f t="shared" si="16"/>
        <v>11</v>
      </c>
      <c r="Y21" s="238">
        <f t="shared" si="7"/>
        <v>5</v>
      </c>
      <c r="Z21" s="238">
        <f t="shared" si="8"/>
        <v>5</v>
      </c>
      <c r="AA21" s="221">
        <v>8.5</v>
      </c>
      <c r="AB21" s="221">
        <v>6.8</v>
      </c>
      <c r="AC21" s="221">
        <v>3.1</v>
      </c>
      <c r="AD21" s="221">
        <v>3.4</v>
      </c>
      <c r="AE21" s="221">
        <v>0.8</v>
      </c>
      <c r="AF21" s="238">
        <f t="shared" si="9"/>
        <v>5</v>
      </c>
      <c r="AG21" s="221">
        <v>1.8</v>
      </c>
      <c r="AH21" s="221">
        <v>1</v>
      </c>
      <c r="AI21" s="221">
        <v>4.9000000000000004</v>
      </c>
      <c r="AJ21" s="238">
        <f t="shared" si="10"/>
        <v>3.5</v>
      </c>
      <c r="AK21" s="221">
        <v>1.2</v>
      </c>
      <c r="AL21" s="221">
        <v>5</v>
      </c>
      <c r="AM21" s="238">
        <f t="shared" si="0"/>
        <v>75.399999999999991</v>
      </c>
      <c r="AN21" s="243">
        <f t="shared" si="23"/>
        <v>12</v>
      </c>
      <c r="AO21" s="218"/>
      <c r="AP21" s="243">
        <f t="shared" si="24"/>
        <v>10</v>
      </c>
      <c r="AQ21" s="196">
        <v>15.3</v>
      </c>
      <c r="AR21" s="196">
        <v>14.2</v>
      </c>
      <c r="AS21" s="196">
        <v>13.3</v>
      </c>
      <c r="AT21" s="196"/>
      <c r="AU21" s="196"/>
      <c r="AV21" s="197">
        <f t="shared" si="17"/>
        <v>14.266666666666666</v>
      </c>
      <c r="AW21" s="196">
        <v>13.23</v>
      </c>
      <c r="AX21" s="196">
        <v>14.16</v>
      </c>
      <c r="AY21" s="196">
        <v>15.27</v>
      </c>
      <c r="AZ21" s="196"/>
      <c r="BB21" s="199">
        <f t="shared" si="18"/>
        <v>14.219999999999999</v>
      </c>
      <c r="BC21" s="200">
        <v>12</v>
      </c>
      <c r="BD21" s="200">
        <f t="shared" si="19"/>
        <v>0</v>
      </c>
      <c r="BE21" s="196">
        <v>13.15</v>
      </c>
      <c r="BF21" s="196">
        <v>12.45</v>
      </c>
      <c r="BG21" s="196">
        <v>12.7</v>
      </c>
      <c r="BH21" s="196"/>
      <c r="BJ21" s="199">
        <f t="shared" si="20"/>
        <v>12.766666666666666</v>
      </c>
      <c r="BK21" s="196">
        <v>12.3</v>
      </c>
      <c r="BL21" s="196">
        <v>13.1</v>
      </c>
      <c r="BM21" s="196">
        <v>12.65</v>
      </c>
      <c r="BN21" s="196"/>
      <c r="BO21" s="196"/>
      <c r="BP21" s="199">
        <f t="shared" si="21"/>
        <v>12.683333333333332</v>
      </c>
      <c r="BQ21" s="200">
        <v>11</v>
      </c>
      <c r="BR21" s="200">
        <f t="shared" si="22"/>
        <v>0</v>
      </c>
    </row>
    <row r="22" spans="1:70">
      <c r="A22" s="218" t="s">
        <v>100</v>
      </c>
      <c r="B22" s="218" t="s">
        <v>715</v>
      </c>
      <c r="C22" s="219" t="s">
        <v>679</v>
      </c>
      <c r="D22" s="219">
        <v>4</v>
      </c>
      <c r="E22" s="229">
        <v>0.56874999999999998</v>
      </c>
      <c r="F22" s="220">
        <v>0.59127314814814813</v>
      </c>
      <c r="G22" s="220">
        <v>0.66550925925925919</v>
      </c>
      <c r="H22" s="208">
        <f t="shared" si="1"/>
        <v>2.2523148148148153E-2</v>
      </c>
      <c r="I22" s="208">
        <f t="shared" si="2"/>
        <v>6.6087962962962932E-3</v>
      </c>
      <c r="J22" s="208">
        <f t="shared" si="3"/>
        <v>9.6759259259259212E-2</v>
      </c>
      <c r="K22" s="220">
        <v>0.10416666666666667</v>
      </c>
      <c r="L22" s="220">
        <v>0.34652777777777699</v>
      </c>
      <c r="M22" s="220">
        <v>0.37197916666666669</v>
      </c>
      <c r="N22" s="220">
        <v>0.46457175925925925</v>
      </c>
      <c r="O22" s="208">
        <f t="shared" si="4"/>
        <v>2.5451388888889703E-2</v>
      </c>
      <c r="P22" s="208">
        <f t="shared" si="5"/>
        <v>5.706018518519318E-3</v>
      </c>
      <c r="Q22" s="208">
        <f t="shared" si="6"/>
        <v>0.11804398148148226</v>
      </c>
      <c r="R22" s="220">
        <v>0.1388888888888889</v>
      </c>
      <c r="S22" s="221">
        <v>2</v>
      </c>
      <c r="T22" s="221">
        <v>2</v>
      </c>
      <c r="U22" s="221">
        <v>1</v>
      </c>
      <c r="V22" s="221">
        <v>2</v>
      </c>
      <c r="W22" s="238">
        <f t="shared" si="15"/>
        <v>10.199999999999999</v>
      </c>
      <c r="X22" s="238">
        <f t="shared" si="16"/>
        <v>10.9</v>
      </c>
      <c r="Y22" s="238">
        <f t="shared" si="7"/>
        <v>5</v>
      </c>
      <c r="Z22" s="238">
        <f t="shared" si="8"/>
        <v>5</v>
      </c>
      <c r="AA22" s="221">
        <v>9.3000000000000007</v>
      </c>
      <c r="AB22" s="221">
        <v>7.6</v>
      </c>
      <c r="AC22" s="221">
        <v>4</v>
      </c>
      <c r="AD22" s="221">
        <v>4.2</v>
      </c>
      <c r="AE22" s="221">
        <v>2</v>
      </c>
      <c r="AF22" s="238">
        <f t="shared" si="9"/>
        <v>4</v>
      </c>
      <c r="AG22" s="221">
        <v>3.4</v>
      </c>
      <c r="AH22" s="221">
        <v>1.4</v>
      </c>
      <c r="AI22" s="221">
        <v>5.7</v>
      </c>
      <c r="AJ22" s="238">
        <f t="shared" si="10"/>
        <v>3</v>
      </c>
      <c r="AK22" s="221">
        <v>3</v>
      </c>
      <c r="AL22" s="221">
        <v>5</v>
      </c>
      <c r="AM22" s="238">
        <f t="shared" si="0"/>
        <v>83.700000000000017</v>
      </c>
      <c r="AN22" s="243">
        <f t="shared" si="23"/>
        <v>8</v>
      </c>
      <c r="AO22" s="218"/>
      <c r="AP22" s="243">
        <f t="shared" si="24"/>
        <v>9</v>
      </c>
      <c r="AQ22" s="196">
        <v>13.15</v>
      </c>
      <c r="AR22" s="196">
        <v>12.55</v>
      </c>
      <c r="AS22" s="196">
        <v>11.85</v>
      </c>
      <c r="AT22" s="196">
        <v>12.85</v>
      </c>
      <c r="AU22" s="196"/>
      <c r="AV22" s="197">
        <f t="shared" si="17"/>
        <v>12.600000000000001</v>
      </c>
      <c r="AW22" s="196">
        <v>13.08</v>
      </c>
      <c r="AX22" s="196">
        <v>12.84</v>
      </c>
      <c r="AY22" s="196">
        <v>12.18</v>
      </c>
      <c r="AZ22" s="196">
        <v>11.62</v>
      </c>
      <c r="BB22" s="199">
        <f t="shared" si="18"/>
        <v>12.43</v>
      </c>
      <c r="BC22" s="200">
        <v>12</v>
      </c>
      <c r="BD22" s="200">
        <f t="shared" si="19"/>
        <v>0</v>
      </c>
      <c r="BE22" s="196">
        <v>11.75</v>
      </c>
      <c r="BF22" s="196">
        <v>11.55</v>
      </c>
      <c r="BG22" s="196">
        <v>11.8</v>
      </c>
      <c r="BH22" s="196">
        <v>11.75</v>
      </c>
      <c r="BJ22" s="199">
        <f t="shared" si="20"/>
        <v>11.7125</v>
      </c>
      <c r="BK22" s="196">
        <v>11.65</v>
      </c>
      <c r="BL22" s="196">
        <v>11.7</v>
      </c>
      <c r="BM22" s="196">
        <v>11.6</v>
      </c>
      <c r="BN22" s="196">
        <v>11.5</v>
      </c>
      <c r="BO22" s="196"/>
      <c r="BP22" s="199">
        <f t="shared" si="21"/>
        <v>11.612500000000001</v>
      </c>
      <c r="BQ22" s="200">
        <v>11</v>
      </c>
      <c r="BR22" s="200">
        <f t="shared" si="22"/>
        <v>0</v>
      </c>
    </row>
    <row r="23" spans="1:70">
      <c r="A23" s="218" t="s">
        <v>100</v>
      </c>
      <c r="B23" s="218" t="s">
        <v>717</v>
      </c>
      <c r="C23" s="219" t="s">
        <v>680</v>
      </c>
      <c r="D23" s="219">
        <v>4</v>
      </c>
      <c r="E23" s="220">
        <v>0.56944444444444398</v>
      </c>
      <c r="F23" s="220">
        <v>0.59640046296296301</v>
      </c>
      <c r="G23" s="220">
        <v>0.65324074074074068</v>
      </c>
      <c r="H23" s="208">
        <f t="shared" si="1"/>
        <v>2.6956018518519032E-2</v>
      </c>
      <c r="I23" s="208">
        <f t="shared" si="2"/>
        <v>1.1041666666667171E-2</v>
      </c>
      <c r="J23" s="208">
        <f t="shared" si="3"/>
        <v>8.3796296296296702E-2</v>
      </c>
      <c r="K23" s="220">
        <v>0.10416666666666667</v>
      </c>
      <c r="L23" s="220">
        <v>0.35138888888888797</v>
      </c>
      <c r="M23" s="220">
        <v>0.38034722222222223</v>
      </c>
      <c r="N23" s="220">
        <v>0.47002314814814811</v>
      </c>
      <c r="O23" s="208">
        <f t="shared" si="4"/>
        <v>2.8958333333334252E-2</v>
      </c>
      <c r="P23" s="208">
        <f t="shared" si="5"/>
        <v>9.2129629629638665E-3</v>
      </c>
      <c r="Q23" s="208">
        <f t="shared" si="6"/>
        <v>0.11863425925926013</v>
      </c>
      <c r="R23" s="220">
        <v>0.1388888888888889</v>
      </c>
      <c r="S23" s="221">
        <v>2</v>
      </c>
      <c r="T23" s="221">
        <v>2</v>
      </c>
      <c r="U23" s="221">
        <v>1</v>
      </c>
      <c r="V23" s="221">
        <v>2</v>
      </c>
      <c r="W23" s="238">
        <f>ROUND(MAX(W$2-I23*60*24*0.5+BD23,0),1)</f>
        <v>7</v>
      </c>
      <c r="X23" s="238">
        <f t="shared" si="16"/>
        <v>8.4</v>
      </c>
      <c r="Y23" s="238">
        <f t="shared" si="7"/>
        <v>5</v>
      </c>
      <c r="Z23" s="238">
        <f t="shared" si="8"/>
        <v>5</v>
      </c>
      <c r="AA23" s="221">
        <v>3.5</v>
      </c>
      <c r="AB23" s="221">
        <v>7.5</v>
      </c>
      <c r="AC23" s="221">
        <v>4</v>
      </c>
      <c r="AD23" s="221">
        <v>4.0999999999999996</v>
      </c>
      <c r="AE23" s="221">
        <v>1</v>
      </c>
      <c r="AF23" s="238">
        <f t="shared" si="9"/>
        <v>4</v>
      </c>
      <c r="AG23" s="221">
        <v>2</v>
      </c>
      <c r="AH23" s="221">
        <v>1.2</v>
      </c>
      <c r="AI23" s="221">
        <v>4.3</v>
      </c>
      <c r="AJ23" s="238">
        <f t="shared" si="10"/>
        <v>3</v>
      </c>
      <c r="AK23" s="221">
        <v>1.5</v>
      </c>
      <c r="AL23" s="221">
        <v>5</v>
      </c>
      <c r="AM23" s="238">
        <f t="shared" si="0"/>
        <v>66.5</v>
      </c>
      <c r="AN23" s="243">
        <f t="shared" si="23"/>
        <v>15</v>
      </c>
      <c r="AO23" s="218"/>
      <c r="AP23" s="243">
        <f t="shared" si="24"/>
        <v>16</v>
      </c>
      <c r="AQ23" s="196">
        <v>13.1</v>
      </c>
      <c r="AR23" s="196">
        <v>12.85</v>
      </c>
      <c r="AS23" s="196">
        <v>15.3</v>
      </c>
      <c r="AT23" s="196">
        <v>13.85</v>
      </c>
      <c r="AU23" s="196"/>
      <c r="AV23" s="197">
        <f t="shared" si="17"/>
        <v>13.775</v>
      </c>
      <c r="AW23" s="196">
        <v>13.01</v>
      </c>
      <c r="AX23" s="196">
        <v>12.77</v>
      </c>
      <c r="AY23" s="196">
        <v>13.64</v>
      </c>
      <c r="AZ23" s="196">
        <v>14.83</v>
      </c>
      <c r="BB23" s="199">
        <f t="shared" si="18"/>
        <v>13.5625</v>
      </c>
      <c r="BC23" s="200">
        <v>12</v>
      </c>
      <c r="BD23" s="200">
        <f t="shared" si="19"/>
        <v>0</v>
      </c>
      <c r="BE23" s="196">
        <v>11.3</v>
      </c>
      <c r="BF23" s="196">
        <v>11.2</v>
      </c>
      <c r="BG23" s="196">
        <v>12.75</v>
      </c>
      <c r="BH23" s="196">
        <v>11.7</v>
      </c>
      <c r="BJ23" s="199">
        <f t="shared" si="20"/>
        <v>11.737500000000001</v>
      </c>
      <c r="BK23" s="196">
        <v>11.05</v>
      </c>
      <c r="BL23" s="196">
        <v>11.1</v>
      </c>
      <c r="BM23" s="196">
        <v>11.55</v>
      </c>
      <c r="BN23" s="196">
        <v>12.6</v>
      </c>
      <c r="BO23" s="196"/>
      <c r="BP23" s="199">
        <f t="shared" si="21"/>
        <v>11.575000000000001</v>
      </c>
      <c r="BQ23" s="200">
        <v>11</v>
      </c>
      <c r="BR23" s="200">
        <f t="shared" si="22"/>
        <v>0</v>
      </c>
    </row>
    <row r="24" spans="1:70">
      <c r="A24" s="218" t="s">
        <v>100</v>
      </c>
      <c r="B24" s="218" t="s">
        <v>743</v>
      </c>
      <c r="C24" s="219" t="s">
        <v>722</v>
      </c>
      <c r="D24" s="219">
        <v>5</v>
      </c>
      <c r="E24" s="229">
        <v>0.57013888888888897</v>
      </c>
      <c r="F24" s="220">
        <v>0.59231481481481485</v>
      </c>
      <c r="G24" s="220">
        <v>0.6663310185185185</v>
      </c>
      <c r="H24" s="208">
        <f>F24-E24</f>
        <v>2.2175925925925877E-2</v>
      </c>
      <c r="I24" s="208">
        <f t="shared" si="2"/>
        <v>6.2615740740740167E-3</v>
      </c>
      <c r="J24" s="208">
        <f>G24-E24</f>
        <v>9.619212962962953E-2</v>
      </c>
      <c r="K24" s="220">
        <v>0.10416666666666667</v>
      </c>
      <c r="L24" s="220">
        <v>0.34583333333333299</v>
      </c>
      <c r="M24" s="220">
        <v>0.37475694444444446</v>
      </c>
      <c r="N24" s="220">
        <v>0.48281250000000003</v>
      </c>
      <c r="O24" s="208">
        <f>M24-L24</f>
        <v>2.8923611111111469E-2</v>
      </c>
      <c r="P24" s="208">
        <f t="shared" si="5"/>
        <v>9.1782407407410838E-3</v>
      </c>
      <c r="Q24" s="208">
        <f t="shared" si="6"/>
        <v>0.13697916666666704</v>
      </c>
      <c r="R24" s="220">
        <v>0.1388888888888889</v>
      </c>
      <c r="S24" s="221">
        <v>3</v>
      </c>
      <c r="T24" s="221">
        <v>4</v>
      </c>
      <c r="U24" s="221">
        <v>1</v>
      </c>
      <c r="V24" s="221">
        <v>2.5</v>
      </c>
      <c r="W24" s="238">
        <f>ROUND(MAX(W$2-I24*60*24*0.5+BD24,0),1)</f>
        <v>10.5</v>
      </c>
      <c r="X24" s="238">
        <f t="shared" si="16"/>
        <v>8.4</v>
      </c>
      <c r="Y24" s="238">
        <f t="shared" si="7"/>
        <v>5</v>
      </c>
      <c r="Z24" s="238">
        <f t="shared" si="8"/>
        <v>5</v>
      </c>
      <c r="AA24" s="221">
        <v>10</v>
      </c>
      <c r="AB24" s="221">
        <v>8</v>
      </c>
      <c r="AC24" s="221">
        <v>4</v>
      </c>
      <c r="AD24" s="221">
        <v>4.5999999999999996</v>
      </c>
      <c r="AE24" s="221">
        <v>1.6</v>
      </c>
      <c r="AF24" s="238">
        <f>SUM(S24:T24)</f>
        <v>7</v>
      </c>
      <c r="AG24" s="221">
        <v>3.8</v>
      </c>
      <c r="AH24" s="221">
        <v>1.6</v>
      </c>
      <c r="AI24" s="221">
        <v>6</v>
      </c>
      <c r="AJ24" s="238">
        <f t="shared" si="10"/>
        <v>3.5</v>
      </c>
      <c r="AK24" s="221">
        <v>3</v>
      </c>
      <c r="AL24" s="221">
        <v>5</v>
      </c>
      <c r="AM24" s="238">
        <f t="shared" si="0"/>
        <v>86.999999999999986</v>
      </c>
      <c r="AN24" s="243">
        <f t="shared" si="23"/>
        <v>5</v>
      </c>
      <c r="AO24" s="218"/>
      <c r="AP24" s="243">
        <f t="shared" si="24"/>
        <v>8</v>
      </c>
      <c r="AQ24" s="196">
        <v>12.8</v>
      </c>
      <c r="AR24" s="196">
        <v>12.2</v>
      </c>
      <c r="AS24" s="196">
        <v>11.7</v>
      </c>
      <c r="AT24" s="196">
        <v>11.3</v>
      </c>
      <c r="AU24" s="196">
        <v>13.25</v>
      </c>
      <c r="AV24" s="197">
        <f t="shared" si="17"/>
        <v>12.25</v>
      </c>
      <c r="AW24" s="196">
        <v>13.02</v>
      </c>
      <c r="AX24" s="196">
        <v>13.21</v>
      </c>
      <c r="AY24" s="196">
        <v>11.34</v>
      </c>
      <c r="AZ24" s="196">
        <v>11.43</v>
      </c>
      <c r="BA24" s="196">
        <v>11.79</v>
      </c>
      <c r="BB24" s="199">
        <f>AVERAGE(AW24:BA24)</f>
        <v>12.157999999999999</v>
      </c>
      <c r="BC24" s="200">
        <v>12</v>
      </c>
      <c r="BD24" s="200">
        <f t="shared" si="19"/>
        <v>0</v>
      </c>
      <c r="BE24" s="196">
        <v>12.5</v>
      </c>
      <c r="BF24" s="196">
        <v>12.65</v>
      </c>
      <c r="BG24" s="196">
        <v>10.15</v>
      </c>
      <c r="BH24" s="196">
        <v>10.35</v>
      </c>
      <c r="BI24" s="196">
        <v>11.6</v>
      </c>
      <c r="BJ24" s="199">
        <f>AVERAGE(BE24:BI24)</f>
        <v>11.45</v>
      </c>
      <c r="BK24" s="196">
        <v>12.35</v>
      </c>
      <c r="BL24" s="196">
        <v>10.3</v>
      </c>
      <c r="BM24" s="196">
        <v>12.4</v>
      </c>
      <c r="BN24" s="196">
        <v>10.199999999999999</v>
      </c>
      <c r="BO24" s="196">
        <v>10.65</v>
      </c>
      <c r="BP24" s="199">
        <f>AVERAGE(BK24:BO24)</f>
        <v>11.18</v>
      </c>
      <c r="BQ24" s="200">
        <v>11</v>
      </c>
      <c r="BR24" s="200">
        <f t="shared" si="22"/>
        <v>0</v>
      </c>
    </row>
    <row r="25" spans="1:70">
      <c r="A25" s="218" t="s">
        <v>100</v>
      </c>
      <c r="B25" s="218" t="s">
        <v>720</v>
      </c>
      <c r="C25" s="219" t="s">
        <v>723</v>
      </c>
      <c r="D25" s="219">
        <v>4</v>
      </c>
      <c r="E25" s="220">
        <v>0.57083333333333297</v>
      </c>
      <c r="F25" s="220">
        <v>0.59842592592592592</v>
      </c>
      <c r="G25" s="220">
        <v>0.6627777777777778</v>
      </c>
      <c r="H25" s="208">
        <f t="shared" ref="H25:H35" si="25">F25-E25</f>
        <v>2.7592592592592946E-2</v>
      </c>
      <c r="I25" s="208">
        <f t="shared" si="2"/>
        <v>1.1678240740741086E-2</v>
      </c>
      <c r="J25" s="208">
        <f t="shared" si="3"/>
        <v>9.1944444444444828E-2</v>
      </c>
      <c r="K25" s="220">
        <v>0.10416666666666667</v>
      </c>
      <c r="L25" s="220">
        <v>0.35208333333333203</v>
      </c>
      <c r="M25" s="220">
        <v>0.3835648148148148</v>
      </c>
      <c r="N25" s="220">
        <v>0.4855902777777778</v>
      </c>
      <c r="O25" s="208">
        <f t="shared" ref="O25:O35" si="26">M25-L25</f>
        <v>3.1481481481482776E-2</v>
      </c>
      <c r="P25" s="208">
        <f t="shared" si="5"/>
        <v>1.1736111111112391E-2</v>
      </c>
      <c r="Q25" s="208">
        <f t="shared" si="6"/>
        <v>0.13350694444444577</v>
      </c>
      <c r="R25" s="220">
        <v>0.1388888888888889</v>
      </c>
      <c r="S25" s="221">
        <v>1</v>
      </c>
      <c r="T25" s="221">
        <v>1</v>
      </c>
      <c r="U25" s="221">
        <v>1</v>
      </c>
      <c r="V25" s="221">
        <v>2.2000000000000002</v>
      </c>
      <c r="W25" s="238">
        <f t="shared" ref="W25:W35" si="27">ROUND(MAX(W$2-I25*60*24*0.5+BD25,0),1)</f>
        <v>6.6</v>
      </c>
      <c r="X25" s="238">
        <f t="shared" si="16"/>
        <v>6.5</v>
      </c>
      <c r="Y25" s="238">
        <f t="shared" si="7"/>
        <v>5</v>
      </c>
      <c r="Z25" s="238">
        <f t="shared" si="8"/>
        <v>5</v>
      </c>
      <c r="AA25" s="221">
        <v>6.3</v>
      </c>
      <c r="AB25" s="221">
        <v>5.5</v>
      </c>
      <c r="AC25" s="221">
        <v>3.5</v>
      </c>
      <c r="AD25" s="221">
        <v>1</v>
      </c>
      <c r="AE25" s="221">
        <v>1.4</v>
      </c>
      <c r="AF25" s="238">
        <f t="shared" ref="AF25:AF35" si="28">SUM(S25:T25)</f>
        <v>2</v>
      </c>
      <c r="AG25" s="221">
        <v>2.6</v>
      </c>
      <c r="AH25" s="221">
        <v>0.8</v>
      </c>
      <c r="AI25" s="221">
        <v>4.5</v>
      </c>
      <c r="AJ25" s="238">
        <f t="shared" si="10"/>
        <v>3.2</v>
      </c>
      <c r="AK25" s="221">
        <v>1.8</v>
      </c>
      <c r="AL25" s="221">
        <v>5</v>
      </c>
      <c r="AM25" s="238">
        <f t="shared" si="0"/>
        <v>60.7</v>
      </c>
      <c r="AN25" s="243">
        <f t="shared" si="23"/>
        <v>16</v>
      </c>
      <c r="AO25" s="218"/>
      <c r="AP25" s="243">
        <f t="shared" si="24"/>
        <v>17</v>
      </c>
      <c r="AQ25" s="196">
        <v>13.65</v>
      </c>
      <c r="AR25" s="196">
        <v>14.2</v>
      </c>
      <c r="AS25" s="196">
        <v>11.75</v>
      </c>
      <c r="AT25" s="196">
        <v>12.2</v>
      </c>
      <c r="AU25" s="196"/>
      <c r="AV25" s="197">
        <f t="shared" si="17"/>
        <v>12.95</v>
      </c>
      <c r="AW25" s="196">
        <v>14.07</v>
      </c>
      <c r="AX25" s="196">
        <v>11.55</v>
      </c>
      <c r="AY25" s="196">
        <v>13.71</v>
      </c>
      <c r="AZ25" s="196">
        <v>12.13</v>
      </c>
      <c r="BB25" s="199">
        <f t="shared" si="18"/>
        <v>12.865</v>
      </c>
      <c r="BC25" s="200">
        <v>12</v>
      </c>
      <c r="BD25" s="200">
        <f t="shared" si="19"/>
        <v>0</v>
      </c>
      <c r="BE25" s="196">
        <v>10.95</v>
      </c>
      <c r="BF25" s="196">
        <v>11.95</v>
      </c>
      <c r="BG25" s="196">
        <v>10.6</v>
      </c>
      <c r="BH25" s="196">
        <v>10.75</v>
      </c>
      <c r="BJ25" s="199">
        <f t="shared" si="20"/>
        <v>11.0625</v>
      </c>
      <c r="BK25" s="196">
        <v>10.9</v>
      </c>
      <c r="BL25" s="196">
        <v>11.95</v>
      </c>
      <c r="BM25" s="196">
        <v>10.6</v>
      </c>
      <c r="BN25" s="196">
        <v>10.65</v>
      </c>
      <c r="BO25" s="196"/>
      <c r="BP25" s="199">
        <f t="shared" si="21"/>
        <v>11.025</v>
      </c>
      <c r="BQ25" s="200">
        <v>11</v>
      </c>
      <c r="BR25" s="200">
        <f t="shared" si="22"/>
        <v>0</v>
      </c>
    </row>
    <row r="26" spans="1:70">
      <c r="A26" s="218" t="s">
        <v>100</v>
      </c>
      <c r="B26" s="218" t="s">
        <v>718</v>
      </c>
      <c r="C26" s="219" t="s">
        <v>724</v>
      </c>
      <c r="D26" s="219">
        <v>4</v>
      </c>
      <c r="E26" s="220">
        <v>0.57152777777777797</v>
      </c>
      <c r="F26" s="220">
        <v>0.59553240740740743</v>
      </c>
      <c r="G26" s="220">
        <v>0.66298611111111116</v>
      </c>
      <c r="H26" s="208">
        <f t="shared" ref="H26" si="29">F26-E26</f>
        <v>2.4004629629629459E-2</v>
      </c>
      <c r="I26" s="208">
        <f t="shared" si="2"/>
        <v>8.0902777777775992E-3</v>
      </c>
      <c r="J26" s="208">
        <f t="shared" ref="J26" si="30">G26-E26</f>
        <v>9.1458333333333197E-2</v>
      </c>
      <c r="K26" s="220">
        <v>0.10416666666666667</v>
      </c>
      <c r="L26" s="220">
        <v>0.34791666666666599</v>
      </c>
      <c r="M26" s="220">
        <v>0.37803240740740746</v>
      </c>
      <c r="N26" s="220">
        <v>0.45892361111111107</v>
      </c>
      <c r="O26" s="208">
        <f t="shared" ref="O26" si="31">M26-L26</f>
        <v>3.011574074074147E-2</v>
      </c>
      <c r="P26" s="208">
        <f t="shared" si="5"/>
        <v>1.0370370370371085E-2</v>
      </c>
      <c r="Q26" s="208">
        <f t="shared" ref="Q26" si="32">N26-L26</f>
        <v>0.11100694444444509</v>
      </c>
      <c r="R26" s="220">
        <v>0.1388888888888889</v>
      </c>
      <c r="S26" s="221">
        <v>3</v>
      </c>
      <c r="T26" s="221">
        <v>3</v>
      </c>
      <c r="U26" s="221">
        <v>0.5</v>
      </c>
      <c r="V26" s="221">
        <v>2.5</v>
      </c>
      <c r="W26" s="238">
        <f t="shared" ref="W26" si="33">ROUND(MAX(W$2-I26*60*24*0.5+BD26,0),1)</f>
        <v>9.1999999999999993</v>
      </c>
      <c r="X26" s="238">
        <f t="shared" ref="X26" si="34">ROUND(MAX(X$2-P26*60*24*0.5+BR26,0),1)</f>
        <v>7.5</v>
      </c>
      <c r="Y26" s="238">
        <f t="shared" ref="Y26" si="35">ROUND(MAX(MIN(Y$2+(K26-J26)*60*24*0.2,$Y$2),0),1)</f>
        <v>5</v>
      </c>
      <c r="Z26" s="238">
        <f t="shared" ref="Z26" si="36">ROUND(MAX(MIN($Z$2+(R26-Q26)*60*24*0.2,$Z$2),0),1)</f>
        <v>5</v>
      </c>
      <c r="AA26" s="221">
        <v>10</v>
      </c>
      <c r="AB26" s="221">
        <v>8</v>
      </c>
      <c r="AC26" s="221">
        <v>4</v>
      </c>
      <c r="AD26" s="221">
        <v>5</v>
      </c>
      <c r="AE26" s="221">
        <v>1.2</v>
      </c>
      <c r="AF26" s="238">
        <f t="shared" ref="AF26" si="37">SUM(S26:T26)</f>
        <v>6</v>
      </c>
      <c r="AG26" s="221">
        <v>2.6</v>
      </c>
      <c r="AH26" s="221">
        <v>2</v>
      </c>
      <c r="AI26" s="221">
        <v>6</v>
      </c>
      <c r="AJ26" s="238">
        <f t="shared" ref="AJ26" si="38">SUM(U26:V26)</f>
        <v>3</v>
      </c>
      <c r="AK26" s="221">
        <v>3</v>
      </c>
      <c r="AL26" s="221">
        <v>5</v>
      </c>
      <c r="AM26" s="238">
        <f t="shared" ref="AM26" si="39">SUM(W26:AL26)</f>
        <v>82.5</v>
      </c>
      <c r="AN26" s="243">
        <f t="shared" si="23"/>
        <v>9</v>
      </c>
      <c r="AO26" s="218"/>
      <c r="AP26" s="243">
        <f t="shared" si="24"/>
        <v>11</v>
      </c>
      <c r="AQ26" s="196">
        <v>12.75</v>
      </c>
      <c r="AR26" s="196">
        <v>13.1</v>
      </c>
      <c r="AS26" s="196">
        <v>13.3</v>
      </c>
      <c r="AT26" s="196">
        <v>12.5</v>
      </c>
      <c r="AU26" s="196"/>
      <c r="AV26" s="197">
        <f t="shared" si="17"/>
        <v>12.912500000000001</v>
      </c>
      <c r="AW26" s="196">
        <v>12.77</v>
      </c>
      <c r="AX26" s="196">
        <v>13.1</v>
      </c>
      <c r="AY26" s="196">
        <v>13.3</v>
      </c>
      <c r="AZ26" s="196">
        <v>12.46</v>
      </c>
      <c r="BB26" s="199">
        <f t="shared" si="18"/>
        <v>12.907500000000001</v>
      </c>
      <c r="BC26" s="200">
        <v>12</v>
      </c>
      <c r="BD26" s="200">
        <f t="shared" si="19"/>
        <v>0</v>
      </c>
      <c r="BE26" s="196">
        <v>11.4</v>
      </c>
      <c r="BF26" s="196">
        <v>12.75</v>
      </c>
      <c r="BG26" s="196">
        <v>12.2</v>
      </c>
      <c r="BH26" s="196">
        <v>11.75</v>
      </c>
      <c r="BJ26" s="199">
        <f t="shared" si="20"/>
        <v>12.024999999999999</v>
      </c>
      <c r="BK26" s="196">
        <v>11.45</v>
      </c>
      <c r="BL26" s="196">
        <v>12.65</v>
      </c>
      <c r="BM26" s="196">
        <v>12.25</v>
      </c>
      <c r="BN26" s="196">
        <v>11.5</v>
      </c>
      <c r="BO26" s="196"/>
      <c r="BP26" s="199">
        <f t="shared" si="21"/>
        <v>11.9625</v>
      </c>
      <c r="BQ26" s="200">
        <v>11</v>
      </c>
      <c r="BR26" s="200">
        <f t="shared" si="22"/>
        <v>0</v>
      </c>
    </row>
    <row r="27" spans="1:70" ht="14.25" thickBot="1">
      <c r="A27" s="269" t="s">
        <v>100</v>
      </c>
      <c r="B27" s="269" t="s">
        <v>744</v>
      </c>
      <c r="C27" s="270" t="s">
        <v>741</v>
      </c>
      <c r="D27" s="270">
        <v>3</v>
      </c>
      <c r="E27" s="271">
        <v>0.57222222222222197</v>
      </c>
      <c r="F27" s="271">
        <v>0.59892361111111114</v>
      </c>
      <c r="G27" s="271">
        <v>0.66872685185185177</v>
      </c>
      <c r="H27" s="272">
        <f t="shared" si="25"/>
        <v>2.6701388888889177E-2</v>
      </c>
      <c r="I27" s="272">
        <f t="shared" si="2"/>
        <v>1.0787037037037317E-2</v>
      </c>
      <c r="J27" s="272">
        <f t="shared" si="3"/>
        <v>9.6504629629629801E-2</v>
      </c>
      <c r="K27" s="271">
        <v>0.10416666666666667</v>
      </c>
      <c r="L27" s="271">
        <v>0.35069444444444298</v>
      </c>
      <c r="M27" s="271">
        <v>0.38318287037037035</v>
      </c>
      <c r="N27" s="271">
        <v>0.48501157407407408</v>
      </c>
      <c r="O27" s="272">
        <f t="shared" si="26"/>
        <v>3.2488425925927378E-2</v>
      </c>
      <c r="P27" s="272">
        <f t="shared" si="5"/>
        <v>1.2743055555556992E-2</v>
      </c>
      <c r="Q27" s="272">
        <f t="shared" si="6"/>
        <v>0.1343171296296311</v>
      </c>
      <c r="R27" s="271">
        <v>0.1388888888888889</v>
      </c>
      <c r="S27" s="273">
        <v>3</v>
      </c>
      <c r="T27" s="273">
        <v>1</v>
      </c>
      <c r="U27" s="273">
        <v>0</v>
      </c>
      <c r="V27" s="273">
        <v>1</v>
      </c>
      <c r="W27" s="274">
        <f t="shared" si="27"/>
        <v>7.2</v>
      </c>
      <c r="X27" s="274">
        <f t="shared" si="16"/>
        <v>5.8</v>
      </c>
      <c r="Y27" s="274">
        <f t="shared" si="7"/>
        <v>5</v>
      </c>
      <c r="Z27" s="274">
        <f t="shared" si="8"/>
        <v>5</v>
      </c>
      <c r="AA27" s="273">
        <v>5.4</v>
      </c>
      <c r="AB27" s="273">
        <v>7.3</v>
      </c>
      <c r="AC27" s="273">
        <v>3</v>
      </c>
      <c r="AD27" s="273">
        <v>1.2</v>
      </c>
      <c r="AE27" s="273">
        <v>0.6</v>
      </c>
      <c r="AF27" s="274">
        <f t="shared" si="28"/>
        <v>4</v>
      </c>
      <c r="AG27" s="273">
        <v>1</v>
      </c>
      <c r="AH27" s="273">
        <v>0.8</v>
      </c>
      <c r="AI27" s="273">
        <v>2.7</v>
      </c>
      <c r="AJ27" s="274">
        <f t="shared" si="10"/>
        <v>1</v>
      </c>
      <c r="AK27" s="273">
        <v>3</v>
      </c>
      <c r="AL27" s="273">
        <v>5</v>
      </c>
      <c r="AM27" s="274">
        <f t="shared" si="0"/>
        <v>58</v>
      </c>
      <c r="AN27" s="275">
        <f t="shared" si="23"/>
        <v>18</v>
      </c>
      <c r="AO27" s="269"/>
      <c r="AP27" s="275">
        <f t="shared" si="24"/>
        <v>15</v>
      </c>
      <c r="AQ27" s="196">
        <v>14.1</v>
      </c>
      <c r="AR27" s="196">
        <v>14.75</v>
      </c>
      <c r="AS27" s="196">
        <v>15.1</v>
      </c>
      <c r="AT27" s="196"/>
      <c r="AU27" s="196"/>
      <c r="AV27" s="197">
        <f t="shared" si="17"/>
        <v>14.65</v>
      </c>
      <c r="AW27" s="196">
        <v>14.08</v>
      </c>
      <c r="AX27" s="196">
        <v>14.87</v>
      </c>
      <c r="AY27" s="196">
        <v>14.87</v>
      </c>
      <c r="AZ27" s="196"/>
      <c r="BB27" s="199">
        <f t="shared" si="18"/>
        <v>14.606666666666667</v>
      </c>
      <c r="BC27" s="200">
        <v>12</v>
      </c>
      <c r="BD27" s="200">
        <f t="shared" si="19"/>
        <v>0</v>
      </c>
      <c r="BE27" s="196">
        <v>11.45</v>
      </c>
      <c r="BF27" s="196">
        <v>12.4</v>
      </c>
      <c r="BG27" s="196">
        <v>12.6</v>
      </c>
      <c r="BH27" s="196"/>
      <c r="BJ27" s="199">
        <f t="shared" si="20"/>
        <v>12.15</v>
      </c>
      <c r="BK27" s="196">
        <v>11.2</v>
      </c>
      <c r="BL27" s="196">
        <v>12.6</v>
      </c>
      <c r="BM27" s="196">
        <v>12.35</v>
      </c>
      <c r="BN27" s="196"/>
      <c r="BO27" s="196"/>
      <c r="BP27" s="199">
        <f t="shared" si="21"/>
        <v>12.049999999999999</v>
      </c>
      <c r="BQ27" s="200">
        <v>11</v>
      </c>
      <c r="BR27" s="200">
        <f t="shared" si="22"/>
        <v>0</v>
      </c>
    </row>
    <row r="28" spans="1:70" ht="14.25" thickTop="1">
      <c r="A28" s="227" t="s">
        <v>725</v>
      </c>
      <c r="B28" s="227" t="s">
        <v>179</v>
      </c>
      <c r="C28" s="228" t="s">
        <v>269</v>
      </c>
      <c r="D28" s="228">
        <v>4</v>
      </c>
      <c r="E28" s="229">
        <v>0.57291666666666696</v>
      </c>
      <c r="F28" s="229">
        <v>0.59809027777777779</v>
      </c>
      <c r="G28" s="229">
        <v>0.67436342592592602</v>
      </c>
      <c r="H28" s="210">
        <f>F28-E28</f>
        <v>2.5173611111110827E-2</v>
      </c>
      <c r="I28" s="210">
        <f>H28-MIN(H$28:H$35)</f>
        <v>4.629629629648857E-5</v>
      </c>
      <c r="J28" s="210">
        <f t="shared" si="3"/>
        <v>0.10144675925925906</v>
      </c>
      <c r="K28" s="229">
        <v>0.125</v>
      </c>
      <c r="L28" s="229">
        <v>0.35486111111111002</v>
      </c>
      <c r="M28" s="229">
        <v>0.38540509259259265</v>
      </c>
      <c r="N28" s="229">
        <v>0.51118055555555553</v>
      </c>
      <c r="O28" s="210">
        <f t="shared" si="26"/>
        <v>3.0543981481482629E-2</v>
      </c>
      <c r="P28" s="210">
        <f>O28-MIN(O$28:O$35)</f>
        <v>0</v>
      </c>
      <c r="Q28" s="210">
        <f t="shared" si="6"/>
        <v>0.15631944444444551</v>
      </c>
      <c r="R28" s="229">
        <v>0.15972222222222224</v>
      </c>
      <c r="S28" s="230">
        <v>3</v>
      </c>
      <c r="T28" s="230">
        <v>4</v>
      </c>
      <c r="U28" s="230">
        <v>1</v>
      </c>
      <c r="V28" s="230">
        <v>3</v>
      </c>
      <c r="W28" s="240">
        <f>ROUND(MAX(W$2-I28*60*24*0.5+BD28,0),1)</f>
        <v>15</v>
      </c>
      <c r="X28" s="240">
        <f t="shared" si="16"/>
        <v>14.9</v>
      </c>
      <c r="Y28" s="240">
        <f t="shared" si="7"/>
        <v>5</v>
      </c>
      <c r="Z28" s="240">
        <f t="shared" si="8"/>
        <v>5</v>
      </c>
      <c r="AA28" s="230">
        <v>10</v>
      </c>
      <c r="AB28" s="230">
        <v>8</v>
      </c>
      <c r="AC28" s="230">
        <v>4</v>
      </c>
      <c r="AD28" s="230">
        <v>4.9000000000000004</v>
      </c>
      <c r="AE28" s="230">
        <v>1.8</v>
      </c>
      <c r="AF28" s="240">
        <f t="shared" si="28"/>
        <v>7</v>
      </c>
      <c r="AG28" s="230">
        <v>3.8</v>
      </c>
      <c r="AH28" s="230">
        <v>2</v>
      </c>
      <c r="AI28" s="230">
        <v>6</v>
      </c>
      <c r="AJ28" s="240">
        <f t="shared" si="10"/>
        <v>4</v>
      </c>
      <c r="AK28" s="230">
        <v>3</v>
      </c>
      <c r="AL28" s="230">
        <v>5</v>
      </c>
      <c r="AM28" s="240">
        <f t="shared" si="0"/>
        <v>99.399999999999991</v>
      </c>
      <c r="AN28" s="266">
        <f>RANK(AM28,$AM$28:$AM$31)</f>
        <v>1</v>
      </c>
      <c r="AO28" s="227"/>
      <c r="AP28" s="266">
        <f>RANK(I28,$I$28:$I$31,1)</f>
        <v>2</v>
      </c>
      <c r="AQ28" s="196">
        <v>12.2</v>
      </c>
      <c r="AR28" s="196">
        <v>12.15</v>
      </c>
      <c r="AS28" s="196">
        <v>11.55</v>
      </c>
      <c r="AT28" s="196">
        <v>12.65</v>
      </c>
      <c r="AU28" s="196"/>
      <c r="AV28" s="197">
        <f t="shared" si="17"/>
        <v>12.137500000000001</v>
      </c>
      <c r="AW28" s="196">
        <v>11.35</v>
      </c>
      <c r="AX28" s="196">
        <v>12.13</v>
      </c>
      <c r="AY28" s="196">
        <v>12.18</v>
      </c>
      <c r="AZ28" s="196">
        <v>12.63</v>
      </c>
      <c r="BB28" s="199">
        <f t="shared" si="18"/>
        <v>12.0725</v>
      </c>
      <c r="BC28" s="200">
        <v>12</v>
      </c>
      <c r="BD28" s="200">
        <f t="shared" si="19"/>
        <v>0</v>
      </c>
      <c r="BE28" s="196">
        <v>10.65</v>
      </c>
      <c r="BF28" s="196">
        <v>11.2</v>
      </c>
      <c r="BG28" s="196">
        <v>11.65</v>
      </c>
      <c r="BH28" s="196">
        <v>10.9</v>
      </c>
      <c r="BJ28" s="199">
        <f t="shared" si="20"/>
        <v>11.1</v>
      </c>
      <c r="BK28" s="196">
        <v>11.55</v>
      </c>
      <c r="BL28" s="196">
        <v>11.05</v>
      </c>
      <c r="BM28" s="196">
        <v>10.199999999999999</v>
      </c>
      <c r="BN28" s="196">
        <v>10.8</v>
      </c>
      <c r="BO28" s="196"/>
      <c r="BP28" s="199">
        <f t="shared" si="21"/>
        <v>10.899999999999999</v>
      </c>
      <c r="BQ28" s="200">
        <v>11</v>
      </c>
      <c r="BR28" s="200">
        <f t="shared" si="22"/>
        <v>-0.10000000000000142</v>
      </c>
    </row>
    <row r="29" spans="1:70">
      <c r="A29" s="218" t="s">
        <v>725</v>
      </c>
      <c r="B29" s="219" t="s">
        <v>728</v>
      </c>
      <c r="C29" s="219" t="s">
        <v>270</v>
      </c>
      <c r="D29" s="219">
        <v>4</v>
      </c>
      <c r="E29" s="220">
        <v>0.57361111111111096</v>
      </c>
      <c r="F29" s="220">
        <v>0.6069444444444444</v>
      </c>
      <c r="G29" s="220">
        <v>0.68038194444444444</v>
      </c>
      <c r="H29" s="208">
        <f t="shared" si="25"/>
        <v>3.3333333333333437E-2</v>
      </c>
      <c r="I29" s="208">
        <f t="shared" ref="I29:I34" si="40">H29-MIN(H$28:H$35)</f>
        <v>8.2060185185190981E-3</v>
      </c>
      <c r="J29" s="208">
        <f t="shared" si="3"/>
        <v>0.10677083333333348</v>
      </c>
      <c r="K29" s="220">
        <v>0.125</v>
      </c>
      <c r="L29" s="220">
        <v>0.35624999999999801</v>
      </c>
      <c r="M29" s="220">
        <v>0.39504629629629634</v>
      </c>
      <c r="N29" s="220">
        <v>0.50895833333333329</v>
      </c>
      <c r="O29" s="208">
        <f t="shared" si="26"/>
        <v>3.8796296296298327E-2</v>
      </c>
      <c r="P29" s="208">
        <f t="shared" ref="P29:P35" si="41">O29-MIN(O$28:O$35)</f>
        <v>8.2523148148156977E-3</v>
      </c>
      <c r="Q29" s="208">
        <f t="shared" si="6"/>
        <v>0.15270833333333528</v>
      </c>
      <c r="R29" s="220">
        <v>0.15972222222222224</v>
      </c>
      <c r="S29" s="221">
        <v>3</v>
      </c>
      <c r="T29" s="221">
        <v>2</v>
      </c>
      <c r="U29" s="221">
        <v>1</v>
      </c>
      <c r="V29" s="221">
        <v>1.5</v>
      </c>
      <c r="W29" s="238">
        <f t="shared" si="27"/>
        <v>9.1</v>
      </c>
      <c r="X29" s="238">
        <f t="shared" si="16"/>
        <v>9</v>
      </c>
      <c r="Y29" s="238">
        <f t="shared" si="7"/>
        <v>5</v>
      </c>
      <c r="Z29" s="238">
        <f t="shared" si="8"/>
        <v>5</v>
      </c>
      <c r="AA29" s="221">
        <v>8.8000000000000007</v>
      </c>
      <c r="AB29" s="221">
        <v>8</v>
      </c>
      <c r="AC29" s="221">
        <v>4</v>
      </c>
      <c r="AD29" s="221">
        <v>2.7</v>
      </c>
      <c r="AE29" s="221">
        <v>2</v>
      </c>
      <c r="AF29" s="238">
        <f t="shared" si="28"/>
        <v>5</v>
      </c>
      <c r="AG29" s="221">
        <v>2.8</v>
      </c>
      <c r="AH29" s="221">
        <v>1.4</v>
      </c>
      <c r="AI29" s="221">
        <v>6</v>
      </c>
      <c r="AJ29" s="238">
        <f t="shared" si="10"/>
        <v>2.5</v>
      </c>
      <c r="AK29" s="221">
        <v>3</v>
      </c>
      <c r="AL29" s="221">
        <v>5</v>
      </c>
      <c r="AM29" s="238">
        <f t="shared" si="0"/>
        <v>79.300000000000011</v>
      </c>
      <c r="AN29" s="267">
        <f>RANK(AM29,$AM$28:$AM$31)</f>
        <v>4</v>
      </c>
      <c r="AO29" s="218"/>
      <c r="AP29" s="267">
        <f>RANK(I29,$I$28:$I$31,1)</f>
        <v>4</v>
      </c>
      <c r="AQ29" s="196">
        <v>13.6</v>
      </c>
      <c r="AR29" s="196">
        <v>11.8</v>
      </c>
      <c r="AS29" s="196">
        <v>9.75</v>
      </c>
      <c r="AT29" s="196">
        <v>13.7</v>
      </c>
      <c r="AU29" s="196"/>
      <c r="AV29" s="197">
        <f t="shared" si="17"/>
        <v>12.212499999999999</v>
      </c>
      <c r="AW29" s="196">
        <v>14</v>
      </c>
      <c r="AX29" s="196">
        <v>12.87</v>
      </c>
      <c r="AY29" s="196">
        <v>10</v>
      </c>
      <c r="AZ29" s="196">
        <v>12.15</v>
      </c>
      <c r="BB29" s="199">
        <f t="shared" si="18"/>
        <v>12.254999999999999</v>
      </c>
      <c r="BC29" s="200">
        <v>12</v>
      </c>
      <c r="BD29" s="200">
        <f t="shared" si="19"/>
        <v>0</v>
      </c>
      <c r="BE29" s="196">
        <v>11.95</v>
      </c>
      <c r="BF29" s="196">
        <v>10.9</v>
      </c>
      <c r="BG29" s="196">
        <v>12.45</v>
      </c>
      <c r="BH29" s="196">
        <v>9.35</v>
      </c>
      <c r="BJ29" s="199">
        <f t="shared" si="20"/>
        <v>11.1625</v>
      </c>
      <c r="BK29" s="196">
        <v>11.75</v>
      </c>
      <c r="BL29" s="196">
        <v>9.0500000000000007</v>
      </c>
      <c r="BM29" s="196">
        <v>12.25</v>
      </c>
      <c r="BN29" s="196">
        <v>10.6</v>
      </c>
      <c r="BO29" s="196"/>
      <c r="BP29" s="199">
        <f t="shared" si="21"/>
        <v>10.9125</v>
      </c>
      <c r="BQ29" s="200">
        <v>11</v>
      </c>
      <c r="BR29" s="200">
        <f t="shared" si="22"/>
        <v>-8.7500000000000355E-2</v>
      </c>
    </row>
    <row r="30" spans="1:70">
      <c r="A30" s="218" t="s">
        <v>725</v>
      </c>
      <c r="B30" s="227" t="s">
        <v>641</v>
      </c>
      <c r="C30" s="219" t="s">
        <v>271</v>
      </c>
      <c r="D30" s="219">
        <v>4</v>
      </c>
      <c r="E30" s="229">
        <v>0.57430555555555596</v>
      </c>
      <c r="F30" s="220">
        <v>0.5994328703703703</v>
      </c>
      <c r="G30" s="220">
        <v>0.67407407407407405</v>
      </c>
      <c r="H30" s="208">
        <f t="shared" si="25"/>
        <v>2.5127314814814339E-2</v>
      </c>
      <c r="I30" s="208">
        <f t="shared" si="40"/>
        <v>0</v>
      </c>
      <c r="J30" s="208">
        <f t="shared" si="3"/>
        <v>9.976851851851809E-2</v>
      </c>
      <c r="K30" s="220">
        <v>0.125</v>
      </c>
      <c r="L30" s="220">
        <v>0.35416666666666502</v>
      </c>
      <c r="M30" s="220">
        <v>0.38471064814814815</v>
      </c>
      <c r="N30" s="220">
        <v>0.50982638888888887</v>
      </c>
      <c r="O30" s="208">
        <f t="shared" si="26"/>
        <v>3.0543981481483129E-2</v>
      </c>
      <c r="P30" s="208">
        <f t="shared" si="41"/>
        <v>4.9960036108132044E-16</v>
      </c>
      <c r="Q30" s="208">
        <f t="shared" si="6"/>
        <v>0.15565972222222385</v>
      </c>
      <c r="R30" s="220">
        <v>0.15972222222222224</v>
      </c>
      <c r="S30" s="221">
        <v>3</v>
      </c>
      <c r="T30" s="221">
        <v>4</v>
      </c>
      <c r="U30" s="221">
        <v>1</v>
      </c>
      <c r="V30" s="221">
        <v>3</v>
      </c>
      <c r="W30" s="238">
        <f t="shared" si="27"/>
        <v>15</v>
      </c>
      <c r="X30" s="238">
        <f t="shared" si="16"/>
        <v>15</v>
      </c>
      <c r="Y30" s="238">
        <f t="shared" si="7"/>
        <v>5</v>
      </c>
      <c r="Z30" s="238">
        <f t="shared" si="8"/>
        <v>5</v>
      </c>
      <c r="AA30" s="221">
        <v>9.5</v>
      </c>
      <c r="AB30" s="221">
        <v>8</v>
      </c>
      <c r="AC30" s="221">
        <v>4</v>
      </c>
      <c r="AD30" s="221">
        <v>4.5999999999999996</v>
      </c>
      <c r="AE30" s="221">
        <v>1.6</v>
      </c>
      <c r="AF30" s="238">
        <f t="shared" si="28"/>
        <v>7</v>
      </c>
      <c r="AG30" s="221">
        <v>3.8</v>
      </c>
      <c r="AH30" s="221">
        <v>1.8</v>
      </c>
      <c r="AI30" s="221">
        <v>6</v>
      </c>
      <c r="AJ30" s="238">
        <f t="shared" si="10"/>
        <v>4</v>
      </c>
      <c r="AK30" s="221">
        <v>3</v>
      </c>
      <c r="AL30" s="221">
        <v>5</v>
      </c>
      <c r="AM30" s="238">
        <f t="shared" si="0"/>
        <v>98.299999999999983</v>
      </c>
      <c r="AN30" s="267">
        <f>RANK(AM30,$AM$28:$AM$31)</f>
        <v>2</v>
      </c>
      <c r="AO30" s="218"/>
      <c r="AP30" s="267">
        <f>RANK(I30,$I$28:$I$31,1)</f>
        <v>1</v>
      </c>
      <c r="AQ30" s="196">
        <v>12</v>
      </c>
      <c r="AR30" s="196">
        <v>10.75</v>
      </c>
      <c r="AS30" s="196">
        <v>12.9</v>
      </c>
      <c r="AT30" s="196">
        <v>13.6</v>
      </c>
      <c r="AU30" s="196"/>
      <c r="AV30" s="197">
        <f t="shared" si="17"/>
        <v>12.3125</v>
      </c>
      <c r="AW30" s="196">
        <v>11.34</v>
      </c>
      <c r="AX30" s="196">
        <v>10.130000000000001</v>
      </c>
      <c r="AY30" s="196">
        <v>12.51</v>
      </c>
      <c r="AZ30" s="196">
        <v>14.15</v>
      </c>
      <c r="BB30" s="199">
        <f t="shared" si="18"/>
        <v>12.032499999999999</v>
      </c>
      <c r="BC30" s="200">
        <v>12</v>
      </c>
      <c r="BD30" s="200">
        <f t="shared" si="19"/>
        <v>0</v>
      </c>
      <c r="BE30" s="196">
        <v>10.6</v>
      </c>
      <c r="BF30" s="196">
        <v>7.7</v>
      </c>
      <c r="BG30" s="196">
        <v>11.15</v>
      </c>
      <c r="BH30" s="196">
        <v>15.6</v>
      </c>
      <c r="BJ30" s="199">
        <f t="shared" si="20"/>
        <v>11.262500000000001</v>
      </c>
      <c r="BK30" s="196">
        <v>8.65</v>
      </c>
      <c r="BL30" s="196">
        <v>10.95</v>
      </c>
      <c r="BM30" s="196">
        <v>11.1</v>
      </c>
      <c r="BN30" s="196">
        <v>15.95</v>
      </c>
      <c r="BO30" s="196"/>
      <c r="BP30" s="199">
        <f t="shared" si="21"/>
        <v>11.662500000000001</v>
      </c>
      <c r="BQ30" s="200">
        <v>11</v>
      </c>
      <c r="BR30" s="200">
        <f t="shared" si="22"/>
        <v>0</v>
      </c>
    </row>
    <row r="31" spans="1:70" ht="14.25" thickBot="1">
      <c r="A31" s="223" t="s">
        <v>725</v>
      </c>
      <c r="B31" s="223" t="s">
        <v>122</v>
      </c>
      <c r="C31" s="224" t="s">
        <v>272</v>
      </c>
      <c r="D31" s="224">
        <v>4</v>
      </c>
      <c r="E31" s="225">
        <v>0.57499999999999996</v>
      </c>
      <c r="F31" s="225">
        <v>0.60266203703703702</v>
      </c>
      <c r="G31" s="225">
        <v>0.6796875</v>
      </c>
      <c r="H31" s="209">
        <f t="shared" si="25"/>
        <v>2.7662037037037068E-2</v>
      </c>
      <c r="I31" s="209">
        <f t="shared" si="40"/>
        <v>2.5347222222227295E-3</v>
      </c>
      <c r="J31" s="209">
        <f t="shared" si="3"/>
        <v>0.10468750000000004</v>
      </c>
      <c r="K31" s="225">
        <v>0.125</v>
      </c>
      <c r="L31" s="225">
        <v>0.35555555555555401</v>
      </c>
      <c r="M31" s="225">
        <v>0.39182870370370365</v>
      </c>
      <c r="N31" s="225">
        <v>0.50462962962962965</v>
      </c>
      <c r="O31" s="209">
        <f t="shared" si="26"/>
        <v>3.6273148148149637E-2</v>
      </c>
      <c r="P31" s="209">
        <f t="shared" si="41"/>
        <v>5.7291666666670071E-3</v>
      </c>
      <c r="Q31" s="209">
        <f t="shared" si="6"/>
        <v>0.14907407407407564</v>
      </c>
      <c r="R31" s="225">
        <v>0.15972222222222224</v>
      </c>
      <c r="S31" s="226">
        <v>3</v>
      </c>
      <c r="T31" s="226">
        <v>3</v>
      </c>
      <c r="U31" s="226">
        <v>1</v>
      </c>
      <c r="V31" s="226">
        <v>2.5</v>
      </c>
      <c r="W31" s="239">
        <f t="shared" si="27"/>
        <v>13.2</v>
      </c>
      <c r="X31" s="239">
        <f t="shared" si="16"/>
        <v>10.9</v>
      </c>
      <c r="Y31" s="239">
        <f t="shared" si="7"/>
        <v>5</v>
      </c>
      <c r="Z31" s="239">
        <f t="shared" si="8"/>
        <v>5</v>
      </c>
      <c r="AA31" s="226">
        <v>9.5</v>
      </c>
      <c r="AB31" s="226">
        <v>8</v>
      </c>
      <c r="AC31" s="226">
        <v>4</v>
      </c>
      <c r="AD31" s="226">
        <v>3.7</v>
      </c>
      <c r="AE31" s="226">
        <v>0.8</v>
      </c>
      <c r="AF31" s="239">
        <f t="shared" si="28"/>
        <v>6</v>
      </c>
      <c r="AG31" s="226">
        <v>3</v>
      </c>
      <c r="AH31" s="226">
        <v>1.6</v>
      </c>
      <c r="AI31" s="226">
        <v>5.8</v>
      </c>
      <c r="AJ31" s="239">
        <f t="shared" si="10"/>
        <v>3.5</v>
      </c>
      <c r="AK31" s="226">
        <v>3</v>
      </c>
      <c r="AL31" s="226">
        <v>5</v>
      </c>
      <c r="AM31" s="239">
        <f t="shared" si="0"/>
        <v>87.999999999999986</v>
      </c>
      <c r="AN31" s="268">
        <f>RANK(AM31,$AM$28:$AM$31)</f>
        <v>3</v>
      </c>
      <c r="AO31" s="223"/>
      <c r="AP31" s="268">
        <f>RANK(I31,$I$28:$I$31,1)</f>
        <v>3</v>
      </c>
      <c r="AQ31" s="196">
        <v>12.95</v>
      </c>
      <c r="AR31" s="196">
        <v>10.95</v>
      </c>
      <c r="AS31" s="196">
        <v>12.3</v>
      </c>
      <c r="AT31" s="196">
        <v>12.1</v>
      </c>
      <c r="AU31" s="196"/>
      <c r="AV31" s="197">
        <f t="shared" si="17"/>
        <v>12.075000000000001</v>
      </c>
      <c r="AW31" s="196">
        <v>11.26</v>
      </c>
      <c r="AX31" s="196">
        <v>12.33</v>
      </c>
      <c r="AY31" s="196">
        <v>12.95</v>
      </c>
      <c r="AZ31" s="196">
        <v>12.08</v>
      </c>
      <c r="BB31" s="199">
        <f t="shared" si="18"/>
        <v>12.154999999999999</v>
      </c>
      <c r="BC31" s="200">
        <v>12</v>
      </c>
      <c r="BD31" s="200">
        <f t="shared" si="19"/>
        <v>0</v>
      </c>
      <c r="BE31" s="196">
        <v>11.8</v>
      </c>
      <c r="BF31" s="196">
        <v>11.55</v>
      </c>
      <c r="BG31" s="196">
        <v>9.6</v>
      </c>
      <c r="BH31" s="196">
        <v>11.35</v>
      </c>
      <c r="BJ31" s="199">
        <f t="shared" si="20"/>
        <v>11.075000000000001</v>
      </c>
      <c r="BK31" s="196">
        <v>11.3</v>
      </c>
      <c r="BL31" s="196">
        <v>9.6</v>
      </c>
      <c r="BM31" s="196">
        <v>11.95</v>
      </c>
      <c r="BN31" s="196">
        <v>11.55</v>
      </c>
      <c r="BO31" s="196"/>
      <c r="BP31" s="199">
        <f t="shared" si="21"/>
        <v>11.099999999999998</v>
      </c>
      <c r="BQ31" s="200">
        <v>11</v>
      </c>
      <c r="BR31" s="200">
        <f t="shared" si="22"/>
        <v>0</v>
      </c>
    </row>
    <row r="32" spans="1:70">
      <c r="A32" s="227" t="s">
        <v>726</v>
      </c>
      <c r="B32" s="227" t="s">
        <v>641</v>
      </c>
      <c r="C32" s="228" t="s">
        <v>277</v>
      </c>
      <c r="D32" s="228">
        <v>4</v>
      </c>
      <c r="E32" s="229">
        <v>0.57569444444444395</v>
      </c>
      <c r="F32" s="229">
        <v>0.60651620370370374</v>
      </c>
      <c r="G32" s="229">
        <v>0.66371527777777783</v>
      </c>
      <c r="H32" s="210">
        <f t="shared" si="25"/>
        <v>3.0821759259259784E-2</v>
      </c>
      <c r="I32" s="210">
        <f t="shared" si="40"/>
        <v>5.6944444444454456E-3</v>
      </c>
      <c r="J32" s="210">
        <f t="shared" si="3"/>
        <v>8.8020833333333881E-2</v>
      </c>
      <c r="K32" s="229">
        <v>0.125</v>
      </c>
      <c r="L32" s="229">
        <v>0.35763888888888701</v>
      </c>
      <c r="M32" s="229">
        <v>0.39587962962962964</v>
      </c>
      <c r="N32" s="229">
        <v>0.49837962962962962</v>
      </c>
      <c r="O32" s="210">
        <f t="shared" si="26"/>
        <v>3.8240740740742629E-2</v>
      </c>
      <c r="P32" s="210">
        <f t="shared" si="41"/>
        <v>7.6967592592599998E-3</v>
      </c>
      <c r="Q32" s="210">
        <f t="shared" si="6"/>
        <v>0.14074074074074261</v>
      </c>
      <c r="R32" s="229">
        <v>0.15972222222222224</v>
      </c>
      <c r="S32" s="230">
        <v>3</v>
      </c>
      <c r="T32" s="230">
        <v>2</v>
      </c>
      <c r="U32" s="230">
        <v>1</v>
      </c>
      <c r="V32" s="230">
        <v>1.5</v>
      </c>
      <c r="W32" s="240">
        <f t="shared" si="27"/>
        <v>10.9</v>
      </c>
      <c r="X32" s="240">
        <f t="shared" si="16"/>
        <v>9.5</v>
      </c>
      <c r="Y32" s="240">
        <f t="shared" si="7"/>
        <v>5</v>
      </c>
      <c r="Z32" s="240">
        <f t="shared" si="8"/>
        <v>5</v>
      </c>
      <c r="AA32" s="230">
        <v>8.5</v>
      </c>
      <c r="AB32" s="230">
        <v>8</v>
      </c>
      <c r="AC32" s="230">
        <v>4</v>
      </c>
      <c r="AD32" s="230">
        <v>4.4000000000000004</v>
      </c>
      <c r="AE32" s="230">
        <v>1.4</v>
      </c>
      <c r="AF32" s="240">
        <f t="shared" si="28"/>
        <v>5</v>
      </c>
      <c r="AG32" s="230">
        <v>3.4</v>
      </c>
      <c r="AH32" s="230">
        <v>2</v>
      </c>
      <c r="AI32" s="230">
        <v>5.8</v>
      </c>
      <c r="AJ32" s="240">
        <f t="shared" si="10"/>
        <v>2.5</v>
      </c>
      <c r="AK32" s="230">
        <v>2.4</v>
      </c>
      <c r="AL32" s="230">
        <v>5</v>
      </c>
      <c r="AM32" s="240">
        <f t="shared" si="0"/>
        <v>82.8</v>
      </c>
      <c r="AN32" s="266">
        <f>RANK(AM32,$AM$32:$AM$35)</f>
        <v>2</v>
      </c>
      <c r="AO32" s="227"/>
      <c r="AP32" s="266">
        <f>RANK(I32,$I$32:$I$35,1)</f>
        <v>2</v>
      </c>
      <c r="AQ32" s="196">
        <v>11.75</v>
      </c>
      <c r="AR32" s="196">
        <v>11.65</v>
      </c>
      <c r="AS32" s="196">
        <v>12.7</v>
      </c>
      <c r="AT32" s="196">
        <v>13.8</v>
      </c>
      <c r="AU32" s="196"/>
      <c r="AV32" s="197">
        <f t="shared" si="17"/>
        <v>12.474999999999998</v>
      </c>
      <c r="AW32" s="196">
        <v>11.69</v>
      </c>
      <c r="AX32" s="196">
        <v>12.5</v>
      </c>
      <c r="AY32" s="196">
        <v>11.51</v>
      </c>
      <c r="AZ32" s="196">
        <v>13.67</v>
      </c>
      <c r="BB32" s="199">
        <f t="shared" si="18"/>
        <v>12.342499999999999</v>
      </c>
      <c r="BC32" s="200">
        <v>12</v>
      </c>
      <c r="BD32" s="200">
        <f t="shared" si="19"/>
        <v>0</v>
      </c>
      <c r="BE32" s="196">
        <v>10.75</v>
      </c>
      <c r="BF32" s="196">
        <v>9.25</v>
      </c>
      <c r="BG32" s="196">
        <v>11.65</v>
      </c>
      <c r="BH32" s="196">
        <v>12.55</v>
      </c>
      <c r="BJ32" s="199">
        <f t="shared" si="20"/>
        <v>11.05</v>
      </c>
      <c r="BK32" s="196">
        <v>10.7</v>
      </c>
      <c r="BL32" s="196">
        <v>9.4</v>
      </c>
      <c r="BM32" s="196">
        <v>12.4</v>
      </c>
      <c r="BN32" s="196">
        <v>12.3</v>
      </c>
      <c r="BO32" s="196"/>
      <c r="BP32" s="199">
        <f t="shared" si="21"/>
        <v>11.2</v>
      </c>
      <c r="BQ32" s="200">
        <v>11</v>
      </c>
      <c r="BR32" s="200">
        <f t="shared" si="22"/>
        <v>0</v>
      </c>
    </row>
    <row r="33" spans="1:70">
      <c r="A33" s="218" t="s">
        <v>726</v>
      </c>
      <c r="B33" s="218" t="s">
        <v>122</v>
      </c>
      <c r="C33" s="219" t="s">
        <v>278</v>
      </c>
      <c r="D33" s="219">
        <v>4</v>
      </c>
      <c r="E33" s="220">
        <v>0.57638888888888895</v>
      </c>
      <c r="F33" s="220">
        <v>0.61934027777777778</v>
      </c>
      <c r="G33" s="220">
        <v>0.68120370370370376</v>
      </c>
      <c r="H33" s="208">
        <f t="shared" si="25"/>
        <v>4.2951388888888831E-2</v>
      </c>
      <c r="I33" s="208">
        <f t="shared" si="40"/>
        <v>1.7824074074074492E-2</v>
      </c>
      <c r="J33" s="208">
        <f t="shared" si="3"/>
        <v>0.10481481481481481</v>
      </c>
      <c r="K33" s="220">
        <v>0.125</v>
      </c>
      <c r="L33" s="220">
        <v>0.359027777777776</v>
      </c>
      <c r="M33" s="220">
        <v>0.42640046296296297</v>
      </c>
      <c r="N33" s="220">
        <v>0.51204861111111111</v>
      </c>
      <c r="O33" s="208">
        <f t="shared" si="26"/>
        <v>6.7372685185186965E-2</v>
      </c>
      <c r="P33" s="208">
        <f t="shared" si="41"/>
        <v>3.6828703703704335E-2</v>
      </c>
      <c r="Q33" s="208">
        <f t="shared" si="6"/>
        <v>0.1530208333333351</v>
      </c>
      <c r="R33" s="220">
        <v>0.15972222222222224</v>
      </c>
      <c r="S33" s="221">
        <v>2</v>
      </c>
      <c r="T33" s="221">
        <v>0</v>
      </c>
      <c r="U33" s="221">
        <v>1</v>
      </c>
      <c r="V33" s="221">
        <v>2</v>
      </c>
      <c r="W33" s="238">
        <f t="shared" si="27"/>
        <v>2.2000000000000002</v>
      </c>
      <c r="X33" s="238">
        <f t="shared" si="16"/>
        <v>0</v>
      </c>
      <c r="Y33" s="238">
        <f t="shared" si="7"/>
        <v>5</v>
      </c>
      <c r="Z33" s="238">
        <f t="shared" si="8"/>
        <v>5</v>
      </c>
      <c r="AA33" s="221">
        <v>7.5</v>
      </c>
      <c r="AB33" s="221">
        <v>8</v>
      </c>
      <c r="AC33" s="221">
        <v>4</v>
      </c>
      <c r="AD33" s="221">
        <v>3.1</v>
      </c>
      <c r="AE33" s="221">
        <v>0.4</v>
      </c>
      <c r="AF33" s="238">
        <f t="shared" si="28"/>
        <v>2</v>
      </c>
      <c r="AG33" s="221">
        <v>3</v>
      </c>
      <c r="AH33" s="221">
        <v>1.8</v>
      </c>
      <c r="AI33" s="221">
        <v>5.2</v>
      </c>
      <c r="AJ33" s="238">
        <f t="shared" si="10"/>
        <v>3</v>
      </c>
      <c r="AK33" s="221">
        <v>3</v>
      </c>
      <c r="AL33" s="221">
        <v>5</v>
      </c>
      <c r="AM33" s="238">
        <f t="shared" si="0"/>
        <v>58.199999999999996</v>
      </c>
      <c r="AN33" s="267">
        <f>RANK(AM33,$AM$32:$AM$35)</f>
        <v>4</v>
      </c>
      <c r="AO33" s="218" t="s">
        <v>747</v>
      </c>
      <c r="AP33" s="267">
        <f>RANK(I33,$I$32:$I$35,1)</f>
        <v>4</v>
      </c>
      <c r="AQ33" s="196">
        <v>12.3</v>
      </c>
      <c r="AR33" s="196">
        <v>12.05</v>
      </c>
      <c r="AS33" s="196">
        <v>12.65</v>
      </c>
      <c r="AT33" s="196">
        <v>12.45</v>
      </c>
      <c r="AU33" s="196"/>
      <c r="AV33" s="197">
        <f t="shared" si="17"/>
        <v>12.362500000000001</v>
      </c>
      <c r="AW33" s="196">
        <v>11.99</v>
      </c>
      <c r="AX33" s="196">
        <v>12.17</v>
      </c>
      <c r="AY33" s="196">
        <v>12.33</v>
      </c>
      <c r="AZ33" s="196">
        <v>11.89</v>
      </c>
      <c r="BB33" s="199">
        <f t="shared" si="18"/>
        <v>12.095000000000001</v>
      </c>
      <c r="BC33" s="200">
        <v>12</v>
      </c>
      <c r="BD33" s="200">
        <f t="shared" si="19"/>
        <v>0</v>
      </c>
      <c r="BE33" s="196">
        <v>12.5</v>
      </c>
      <c r="BF33" s="196">
        <v>8.1</v>
      </c>
      <c r="BG33" s="196">
        <v>12.75</v>
      </c>
      <c r="BH33" s="196">
        <v>11.55</v>
      </c>
      <c r="BJ33" s="199">
        <f t="shared" si="20"/>
        <v>11.225000000000001</v>
      </c>
      <c r="BK33" s="196">
        <v>12.2</v>
      </c>
      <c r="BL33" s="196">
        <v>11.45</v>
      </c>
      <c r="BM33" s="196">
        <v>12</v>
      </c>
      <c r="BN33" s="196"/>
      <c r="BO33" s="196"/>
      <c r="BP33" s="199">
        <f t="shared" si="21"/>
        <v>11.883333333333333</v>
      </c>
      <c r="BQ33" s="200">
        <v>11</v>
      </c>
      <c r="BR33" s="200">
        <f t="shared" si="22"/>
        <v>0</v>
      </c>
    </row>
    <row r="34" spans="1:70">
      <c r="A34" s="218" t="s">
        <v>726</v>
      </c>
      <c r="B34" s="218" t="s">
        <v>179</v>
      </c>
      <c r="C34" s="219" t="s">
        <v>279</v>
      </c>
      <c r="D34" s="219">
        <v>4</v>
      </c>
      <c r="E34" s="229">
        <v>0.57708333333333295</v>
      </c>
      <c r="F34" s="220">
        <v>0.60763888888888895</v>
      </c>
      <c r="G34" s="220">
        <v>0.66608796296296291</v>
      </c>
      <c r="H34" s="208">
        <f t="shared" si="25"/>
        <v>3.0555555555556002E-2</v>
      </c>
      <c r="I34" s="208">
        <f t="shared" si="40"/>
        <v>5.4282407407416633E-3</v>
      </c>
      <c r="J34" s="208">
        <f t="shared" si="3"/>
        <v>8.9004629629629961E-2</v>
      </c>
      <c r="K34" s="220">
        <v>0.125</v>
      </c>
      <c r="L34" s="220">
        <v>0.35694444444444301</v>
      </c>
      <c r="M34" s="220">
        <v>0.39324074074074072</v>
      </c>
      <c r="N34" s="220">
        <v>0.4896875</v>
      </c>
      <c r="O34" s="208">
        <f t="shared" si="26"/>
        <v>3.6296296296297714E-2</v>
      </c>
      <c r="P34" s="208">
        <f t="shared" si="41"/>
        <v>5.7523148148150849E-3</v>
      </c>
      <c r="Q34" s="208">
        <f t="shared" si="6"/>
        <v>0.13274305555555699</v>
      </c>
      <c r="R34" s="220">
        <v>0.15972222222222224</v>
      </c>
      <c r="S34" s="221">
        <v>3</v>
      </c>
      <c r="T34" s="221">
        <v>4</v>
      </c>
      <c r="U34" s="221">
        <v>1</v>
      </c>
      <c r="V34" s="221">
        <v>2.5</v>
      </c>
      <c r="W34" s="238">
        <f>ROUND(MAX(W$2-I34*60*24*0.5+BD34,0),1)</f>
        <v>11.1</v>
      </c>
      <c r="X34" s="238">
        <f t="shared" si="16"/>
        <v>10.9</v>
      </c>
      <c r="Y34" s="238">
        <f t="shared" si="7"/>
        <v>5</v>
      </c>
      <c r="Z34" s="238">
        <f t="shared" si="8"/>
        <v>5</v>
      </c>
      <c r="AA34" s="221">
        <v>10</v>
      </c>
      <c r="AB34" s="221">
        <v>8</v>
      </c>
      <c r="AC34" s="221">
        <v>3.5</v>
      </c>
      <c r="AD34" s="221">
        <v>2.4</v>
      </c>
      <c r="AE34" s="221">
        <v>1</v>
      </c>
      <c r="AF34" s="238">
        <f t="shared" si="28"/>
        <v>7</v>
      </c>
      <c r="AG34" s="221">
        <v>2.4</v>
      </c>
      <c r="AH34" s="221">
        <v>1.6</v>
      </c>
      <c r="AI34" s="221">
        <v>6</v>
      </c>
      <c r="AJ34" s="238">
        <f t="shared" si="10"/>
        <v>3.5</v>
      </c>
      <c r="AK34" s="221">
        <v>3</v>
      </c>
      <c r="AL34" s="221">
        <v>5</v>
      </c>
      <c r="AM34" s="238">
        <f t="shared" si="0"/>
        <v>85.399999999999991</v>
      </c>
      <c r="AN34" s="267">
        <f>RANK(AM34,$AM$32:$AM$35)</f>
        <v>1</v>
      </c>
      <c r="AO34" s="218"/>
      <c r="AP34" s="267">
        <f>RANK(I34,$I$32:$I$35,1)</f>
        <v>1</v>
      </c>
      <c r="AQ34" s="196">
        <v>12.3</v>
      </c>
      <c r="AR34" s="196">
        <v>12.3</v>
      </c>
      <c r="AS34" s="196">
        <v>12.1</v>
      </c>
      <c r="AT34" s="196">
        <v>12.35</v>
      </c>
      <c r="AU34" s="196"/>
      <c r="AV34" s="197">
        <f t="shared" si="17"/>
        <v>12.262500000000001</v>
      </c>
      <c r="AW34" s="196">
        <v>12.18</v>
      </c>
      <c r="AX34" s="196">
        <v>11.47</v>
      </c>
      <c r="AY34" s="196">
        <v>13</v>
      </c>
      <c r="AZ34" s="196">
        <v>12.19</v>
      </c>
      <c r="BB34" s="199">
        <f t="shared" si="18"/>
        <v>12.209999999999999</v>
      </c>
      <c r="BC34" s="200">
        <v>12</v>
      </c>
      <c r="BD34" s="200">
        <f t="shared" si="19"/>
        <v>0</v>
      </c>
      <c r="BE34" s="196">
        <v>11.7</v>
      </c>
      <c r="BF34" s="196">
        <v>11.2</v>
      </c>
      <c r="BG34" s="196">
        <v>11.4</v>
      </c>
      <c r="BH34" s="196">
        <v>11.4</v>
      </c>
      <c r="BJ34" s="199">
        <f t="shared" si="20"/>
        <v>11.424999999999999</v>
      </c>
      <c r="BK34" s="196">
        <v>11.6</v>
      </c>
      <c r="BL34" s="196">
        <v>11.1</v>
      </c>
      <c r="BM34" s="196">
        <v>11.3</v>
      </c>
      <c r="BN34" s="196">
        <v>11.35</v>
      </c>
      <c r="BO34" s="196"/>
      <c r="BP34" s="199">
        <f t="shared" si="21"/>
        <v>11.3375</v>
      </c>
      <c r="BQ34" s="200">
        <v>11</v>
      </c>
      <c r="BR34" s="200">
        <f t="shared" si="22"/>
        <v>0</v>
      </c>
    </row>
    <row r="35" spans="1:70">
      <c r="A35" s="218" t="s">
        <v>726</v>
      </c>
      <c r="B35" s="218" t="s">
        <v>182</v>
      </c>
      <c r="C35" s="219" t="s">
        <v>634</v>
      </c>
      <c r="D35" s="219">
        <v>3</v>
      </c>
      <c r="E35" s="220">
        <v>0.57777777777777795</v>
      </c>
      <c r="F35" s="220">
        <v>0.61325231481481479</v>
      </c>
      <c r="G35" s="220">
        <v>0.67251157407407414</v>
      </c>
      <c r="H35" s="208">
        <f t="shared" si="25"/>
        <v>3.5474537037036846E-2</v>
      </c>
      <c r="I35" s="208">
        <f>H35-MIN(H$28:H$35)</f>
        <v>1.0347222222222507E-2</v>
      </c>
      <c r="J35" s="208">
        <f t="shared" si="3"/>
        <v>9.4733796296296191E-2</v>
      </c>
      <c r="K35" s="220">
        <v>0.125</v>
      </c>
      <c r="L35" s="220">
        <v>0.358333333333332</v>
      </c>
      <c r="M35" s="220">
        <v>0.40405092592592595</v>
      </c>
      <c r="N35" s="220">
        <v>0.48628472222222219</v>
      </c>
      <c r="O35" s="208">
        <f t="shared" si="26"/>
        <v>4.5717592592593947E-2</v>
      </c>
      <c r="P35" s="208">
        <f t="shared" si="41"/>
        <v>1.5173611111111318E-2</v>
      </c>
      <c r="Q35" s="208">
        <f t="shared" si="6"/>
        <v>0.12795138888889018</v>
      </c>
      <c r="R35" s="220">
        <v>0.15972222222222224</v>
      </c>
      <c r="S35" s="221">
        <v>2</v>
      </c>
      <c r="T35" s="221">
        <v>2</v>
      </c>
      <c r="U35" s="221">
        <v>0.5</v>
      </c>
      <c r="V35" s="221">
        <v>3</v>
      </c>
      <c r="W35" s="238">
        <f t="shared" si="27"/>
        <v>7.5</v>
      </c>
      <c r="X35" s="238">
        <f t="shared" si="16"/>
        <v>4.0999999999999996</v>
      </c>
      <c r="Y35" s="238">
        <f t="shared" si="7"/>
        <v>5</v>
      </c>
      <c r="Z35" s="238">
        <f t="shared" si="8"/>
        <v>5</v>
      </c>
      <c r="AA35" s="221">
        <v>9.5</v>
      </c>
      <c r="AB35" s="221">
        <v>8</v>
      </c>
      <c r="AC35" s="221">
        <v>4</v>
      </c>
      <c r="AD35" s="221">
        <v>3.1</v>
      </c>
      <c r="AE35" s="221">
        <v>1.6</v>
      </c>
      <c r="AF35" s="238">
        <f t="shared" si="28"/>
        <v>4</v>
      </c>
      <c r="AG35" s="221">
        <v>2.8</v>
      </c>
      <c r="AH35" s="221">
        <v>1.6</v>
      </c>
      <c r="AI35" s="221">
        <v>5.7</v>
      </c>
      <c r="AJ35" s="238">
        <f>SUM(U35:V35)</f>
        <v>3.5</v>
      </c>
      <c r="AK35" s="221">
        <v>3</v>
      </c>
      <c r="AL35" s="221">
        <v>5</v>
      </c>
      <c r="AM35" s="238">
        <f t="shared" si="0"/>
        <v>73.400000000000006</v>
      </c>
      <c r="AN35" s="267">
        <f>RANK(AM35,$AM$32:$AM$35)</f>
        <v>3</v>
      </c>
      <c r="AO35" s="218"/>
      <c r="AP35" s="267">
        <f>RANK(I35,$I$32:$I$35,1)</f>
        <v>3</v>
      </c>
      <c r="AQ35" s="196">
        <v>16.05</v>
      </c>
      <c r="AR35" s="196">
        <v>9.0500000000000007</v>
      </c>
      <c r="AS35" s="196">
        <v>12.4</v>
      </c>
      <c r="AT35" s="196"/>
      <c r="AU35" s="196"/>
      <c r="AV35" s="197">
        <f t="shared" si="17"/>
        <v>12.5</v>
      </c>
      <c r="AW35" s="196">
        <v>12.41</v>
      </c>
      <c r="AX35" s="196">
        <v>9.18</v>
      </c>
      <c r="AY35" s="196">
        <v>16.13</v>
      </c>
      <c r="AZ35" s="196"/>
      <c r="BB35" s="199">
        <f t="shared" si="18"/>
        <v>12.573333333333332</v>
      </c>
      <c r="BC35" s="200">
        <v>12</v>
      </c>
      <c r="BD35" s="200">
        <f t="shared" si="19"/>
        <v>0</v>
      </c>
      <c r="BE35" s="196">
        <v>14.4</v>
      </c>
      <c r="BF35" s="196">
        <v>9.15</v>
      </c>
      <c r="BG35" s="196">
        <v>11.9</v>
      </c>
      <c r="BH35" s="196"/>
      <c r="BJ35" s="199">
        <f t="shared" si="20"/>
        <v>11.816666666666668</v>
      </c>
      <c r="BK35" s="196">
        <v>11.5</v>
      </c>
      <c r="BL35" s="196">
        <v>8.8000000000000007</v>
      </c>
      <c r="BM35" s="196">
        <v>14.45</v>
      </c>
      <c r="BN35" s="196"/>
      <c r="BO35" s="196"/>
      <c r="BP35" s="199">
        <f t="shared" si="21"/>
        <v>11.583333333333334</v>
      </c>
      <c r="BQ35" s="200">
        <v>11</v>
      </c>
      <c r="BR35" s="200">
        <f t="shared" si="22"/>
        <v>0</v>
      </c>
    </row>
    <row r="36" spans="1:70">
      <c r="A36" s="218"/>
      <c r="B36" s="218"/>
      <c r="C36" s="219"/>
      <c r="D36" s="219"/>
      <c r="E36" s="220"/>
      <c r="F36" s="220"/>
      <c r="G36" s="220"/>
      <c r="H36" s="208"/>
      <c r="I36" s="208"/>
      <c r="J36" s="208"/>
      <c r="K36" s="220">
        <v>0.125</v>
      </c>
      <c r="L36" s="220"/>
      <c r="M36" s="220"/>
      <c r="N36" s="220"/>
      <c r="O36" s="208"/>
      <c r="P36" s="208"/>
      <c r="Q36" s="208"/>
      <c r="R36" s="220">
        <v>0.15972222222222224</v>
      </c>
      <c r="S36" s="221"/>
      <c r="T36" s="221"/>
      <c r="U36" s="221"/>
      <c r="V36" s="221"/>
      <c r="W36" s="238"/>
      <c r="X36" s="238"/>
      <c r="Y36" s="238"/>
      <c r="Z36" s="238"/>
      <c r="AA36" s="221"/>
      <c r="AB36" s="221"/>
      <c r="AC36" s="221"/>
      <c r="AD36" s="221"/>
      <c r="AE36" s="221"/>
      <c r="AF36" s="238"/>
      <c r="AG36" s="221"/>
      <c r="AH36" s="221"/>
      <c r="AI36" s="221"/>
      <c r="AJ36" s="238"/>
      <c r="AK36" s="221"/>
      <c r="AL36" s="221"/>
      <c r="AM36" s="238"/>
      <c r="AN36" s="243"/>
      <c r="AO36" s="218"/>
      <c r="AP36" s="243"/>
      <c r="BB36" s="199"/>
    </row>
    <row r="37" spans="1:70">
      <c r="A37" s="218"/>
      <c r="B37" s="218"/>
      <c r="C37" s="219"/>
      <c r="D37" s="219"/>
      <c r="E37" s="220"/>
      <c r="F37" s="220"/>
      <c r="G37" s="220"/>
      <c r="H37" s="208"/>
      <c r="I37" s="208"/>
      <c r="J37" s="208"/>
      <c r="K37" s="220">
        <v>0.125</v>
      </c>
      <c r="L37" s="220"/>
      <c r="M37" s="220"/>
      <c r="N37" s="220"/>
      <c r="O37" s="208"/>
      <c r="P37" s="208"/>
      <c r="Q37" s="208"/>
      <c r="R37" s="220">
        <v>0.15972222222222224</v>
      </c>
      <c r="S37" s="221"/>
      <c r="T37" s="221"/>
      <c r="U37" s="221"/>
      <c r="V37" s="221"/>
      <c r="W37" s="238"/>
      <c r="X37" s="238"/>
      <c r="Y37" s="238"/>
      <c r="Z37" s="238"/>
      <c r="AA37" s="221"/>
      <c r="AB37" s="221"/>
      <c r="AC37" s="221"/>
      <c r="AD37" s="221"/>
      <c r="AE37" s="221"/>
      <c r="AF37" s="238"/>
      <c r="AG37" s="221"/>
      <c r="AH37" s="221"/>
      <c r="AI37" s="221"/>
      <c r="AJ37" s="238"/>
      <c r="AK37" s="221"/>
      <c r="AL37" s="221"/>
      <c r="AM37" s="238"/>
      <c r="AN37" s="243"/>
      <c r="AO37" s="218"/>
      <c r="AP37" s="243"/>
    </row>
    <row r="38" spans="1:70">
      <c r="B38" s="81" t="s">
        <v>698</v>
      </c>
    </row>
    <row r="39" spans="1:70">
      <c r="B39" s="81" t="s">
        <v>694</v>
      </c>
      <c r="E39" s="191"/>
      <c r="F39" s="191"/>
      <c r="I39" s="192"/>
      <c r="J39" s="192"/>
      <c r="N39" s="193"/>
      <c r="O39" s="193"/>
      <c r="P39" s="193"/>
      <c r="Q39" s="193"/>
      <c r="R39" s="193"/>
      <c r="S39" s="193"/>
      <c r="T39" s="193"/>
      <c r="V39" s="198"/>
      <c r="W39" s="193">
        <f t="shared" ref="W39:AM39" si="42">MAX(W3:W37)</f>
        <v>15</v>
      </c>
      <c r="X39" s="193">
        <f t="shared" si="42"/>
        <v>15</v>
      </c>
      <c r="Y39" s="193">
        <f t="shared" si="42"/>
        <v>5</v>
      </c>
      <c r="Z39" s="193">
        <f t="shared" si="42"/>
        <v>5</v>
      </c>
      <c r="AA39" s="193">
        <f t="shared" si="42"/>
        <v>10</v>
      </c>
      <c r="AB39" s="193">
        <f t="shared" si="42"/>
        <v>8</v>
      </c>
      <c r="AC39" s="193">
        <f t="shared" si="42"/>
        <v>4</v>
      </c>
      <c r="AD39" s="193">
        <f t="shared" si="42"/>
        <v>5</v>
      </c>
      <c r="AE39" s="193">
        <f t="shared" si="42"/>
        <v>2</v>
      </c>
      <c r="AF39" s="193">
        <f t="shared" si="42"/>
        <v>7</v>
      </c>
      <c r="AG39" s="193">
        <f t="shared" si="42"/>
        <v>4</v>
      </c>
      <c r="AH39" s="193">
        <f t="shared" si="42"/>
        <v>2</v>
      </c>
      <c r="AI39" s="193">
        <f t="shared" si="42"/>
        <v>6</v>
      </c>
      <c r="AJ39" s="193">
        <f t="shared" si="42"/>
        <v>4</v>
      </c>
      <c r="AK39" s="193">
        <f t="shared" si="42"/>
        <v>3</v>
      </c>
      <c r="AL39" s="193">
        <f t="shared" si="42"/>
        <v>5</v>
      </c>
      <c r="AM39" s="193">
        <f t="shared" si="42"/>
        <v>99.399999999999991</v>
      </c>
    </row>
    <row r="40" spans="1:70">
      <c r="B40" s="81" t="s">
        <v>695</v>
      </c>
      <c r="E40" s="191"/>
      <c r="F40" s="191"/>
      <c r="I40" s="192"/>
      <c r="J40" s="192"/>
      <c r="N40" s="193"/>
      <c r="O40" s="193"/>
      <c r="P40" s="193"/>
      <c r="Q40" s="193"/>
      <c r="R40" s="193"/>
      <c r="S40" s="193"/>
      <c r="T40" s="193"/>
      <c r="V40" s="198"/>
      <c r="W40" s="193">
        <f t="shared" ref="W40:AM40" si="43">MIN(W3:W37)</f>
        <v>2.2000000000000002</v>
      </c>
      <c r="X40" s="193">
        <f t="shared" si="43"/>
        <v>0</v>
      </c>
      <c r="Y40" s="193">
        <f t="shared" si="43"/>
        <v>3.3</v>
      </c>
      <c r="Z40" s="193">
        <f t="shared" si="43"/>
        <v>5</v>
      </c>
      <c r="AA40" s="193">
        <f t="shared" si="43"/>
        <v>3.4</v>
      </c>
      <c r="AB40" s="193">
        <f t="shared" si="43"/>
        <v>5.3</v>
      </c>
      <c r="AC40" s="193">
        <f t="shared" si="43"/>
        <v>3</v>
      </c>
      <c r="AD40" s="193">
        <f t="shared" si="43"/>
        <v>0</v>
      </c>
      <c r="AE40" s="193">
        <f t="shared" si="43"/>
        <v>0.4</v>
      </c>
      <c r="AF40" s="193">
        <f t="shared" si="43"/>
        <v>2</v>
      </c>
      <c r="AG40" s="193">
        <f t="shared" si="43"/>
        <v>1</v>
      </c>
      <c r="AH40" s="193">
        <f t="shared" si="43"/>
        <v>0.6</v>
      </c>
      <c r="AI40" s="193">
        <f t="shared" si="43"/>
        <v>2.7</v>
      </c>
      <c r="AJ40" s="193">
        <f t="shared" si="43"/>
        <v>1</v>
      </c>
      <c r="AK40" s="193">
        <f t="shared" si="43"/>
        <v>1.2</v>
      </c>
      <c r="AL40" s="193">
        <f t="shared" si="43"/>
        <v>5</v>
      </c>
      <c r="AM40" s="193">
        <f t="shared" si="43"/>
        <v>56.6</v>
      </c>
    </row>
    <row r="41" spans="1:70">
      <c r="B41" s="81" t="s">
        <v>696</v>
      </c>
      <c r="E41" s="191"/>
      <c r="F41" s="191"/>
      <c r="I41" s="192"/>
      <c r="J41" s="192"/>
      <c r="N41" s="193"/>
      <c r="O41" s="193"/>
      <c r="P41" s="193"/>
      <c r="Q41" s="193"/>
      <c r="R41" s="193"/>
      <c r="S41" s="193"/>
      <c r="T41" s="193"/>
      <c r="V41" s="198"/>
      <c r="W41" s="193">
        <f t="shared" ref="W41:AM41" si="44">AVERAGE(W3:W37)</f>
        <v>10.130303030303029</v>
      </c>
      <c r="X41" s="193">
        <f t="shared" si="44"/>
        <v>9.209090909090909</v>
      </c>
      <c r="Y41" s="193">
        <f t="shared" si="44"/>
        <v>4.9333333333333336</v>
      </c>
      <c r="Z41" s="193">
        <f t="shared" si="44"/>
        <v>5</v>
      </c>
      <c r="AA41" s="193">
        <f t="shared" si="44"/>
        <v>8.5515151515151526</v>
      </c>
      <c r="AB41" s="193">
        <f t="shared" si="44"/>
        <v>7.6606060606060611</v>
      </c>
      <c r="AC41" s="193">
        <f t="shared" si="44"/>
        <v>3.8393939393939389</v>
      </c>
      <c r="AD41" s="193">
        <f t="shared" si="44"/>
        <v>3.687878787878788</v>
      </c>
      <c r="AE41" s="193">
        <f t="shared" si="44"/>
        <v>1.406060606060606</v>
      </c>
      <c r="AF41" s="193">
        <f t="shared" si="44"/>
        <v>5.333333333333333</v>
      </c>
      <c r="AG41" s="193">
        <f t="shared" si="44"/>
        <v>3.2181818181818178</v>
      </c>
      <c r="AH41" s="193">
        <f t="shared" si="44"/>
        <v>1.5272727272727271</v>
      </c>
      <c r="AI41" s="193">
        <f t="shared" si="44"/>
        <v>5.5030303030303038</v>
      </c>
      <c r="AJ41" s="193">
        <f t="shared" si="44"/>
        <v>2.9727272727272731</v>
      </c>
      <c r="AK41" s="193">
        <f t="shared" si="44"/>
        <v>2.6909090909090909</v>
      </c>
      <c r="AL41" s="193">
        <f t="shared" si="44"/>
        <v>5</v>
      </c>
      <c r="AM41" s="193">
        <f t="shared" si="44"/>
        <v>80.663636363636385</v>
      </c>
    </row>
    <row r="42" spans="1:70">
      <c r="B42" s="81" t="s">
        <v>697</v>
      </c>
      <c r="E42" s="191"/>
      <c r="F42" s="191"/>
      <c r="I42" s="192"/>
      <c r="J42" s="192"/>
      <c r="N42" s="193"/>
      <c r="O42" s="193"/>
      <c r="P42" s="204"/>
      <c r="Q42" s="204"/>
      <c r="R42" s="204"/>
      <c r="S42" s="204"/>
      <c r="T42" s="204"/>
      <c r="V42" s="198"/>
      <c r="W42" s="205">
        <f t="shared" ref="W42:AM42" si="45">W41/W2</f>
        <v>0.67535353535353526</v>
      </c>
      <c r="X42" s="205">
        <f t="shared" si="45"/>
        <v>0.6139393939393939</v>
      </c>
      <c r="Y42" s="205">
        <f t="shared" si="45"/>
        <v>0.98666666666666669</v>
      </c>
      <c r="Z42" s="205">
        <f t="shared" si="45"/>
        <v>1</v>
      </c>
      <c r="AA42" s="205">
        <f t="shared" si="45"/>
        <v>0.85515151515151522</v>
      </c>
      <c r="AB42" s="205">
        <f t="shared" si="45"/>
        <v>0.95757575757575764</v>
      </c>
      <c r="AC42" s="205">
        <f t="shared" si="45"/>
        <v>0.95984848484848473</v>
      </c>
      <c r="AD42" s="205">
        <f t="shared" si="45"/>
        <v>0.73757575757575755</v>
      </c>
      <c r="AE42" s="205">
        <f t="shared" si="45"/>
        <v>0.70303030303030301</v>
      </c>
      <c r="AF42" s="205">
        <f t="shared" si="45"/>
        <v>0.76190476190476186</v>
      </c>
      <c r="AG42" s="205">
        <f t="shared" si="45"/>
        <v>0.80454545454545445</v>
      </c>
      <c r="AH42" s="205">
        <f t="shared" si="45"/>
        <v>0.76363636363636356</v>
      </c>
      <c r="AI42" s="205">
        <f t="shared" si="45"/>
        <v>0.9171717171717173</v>
      </c>
      <c r="AJ42" s="205">
        <f t="shared" si="45"/>
        <v>0.74318181818181828</v>
      </c>
      <c r="AK42" s="205">
        <f t="shared" si="45"/>
        <v>0.89696969696969697</v>
      </c>
      <c r="AL42" s="205">
        <f t="shared" si="45"/>
        <v>1</v>
      </c>
      <c r="AM42" s="205">
        <f t="shared" si="45"/>
        <v>0.80663636363636382</v>
      </c>
    </row>
    <row r="43" spans="1:70">
      <c r="E43" s="191"/>
      <c r="F43" s="191"/>
      <c r="I43" s="192"/>
      <c r="J43" s="192"/>
      <c r="N43" s="193"/>
      <c r="O43" s="193"/>
      <c r="P43" s="193"/>
      <c r="Q43" s="193"/>
      <c r="R43" s="193"/>
      <c r="S43" s="193"/>
      <c r="T43" s="193"/>
      <c r="W43" s="194"/>
      <c r="X43" s="193"/>
      <c r="Y43" s="193"/>
      <c r="Z43" s="193"/>
      <c r="AA43" s="193"/>
      <c r="AB43" s="193"/>
      <c r="AC43" s="193"/>
    </row>
    <row r="44" spans="1:70">
      <c r="B44" s="198"/>
      <c r="E44" s="191"/>
      <c r="F44" s="191"/>
      <c r="I44" s="192"/>
      <c r="J44" s="192"/>
      <c r="N44" s="193"/>
      <c r="O44" s="193"/>
      <c r="P44" s="193"/>
      <c r="Q44" s="193"/>
      <c r="R44" s="193"/>
      <c r="S44" s="193"/>
      <c r="T44" s="193"/>
      <c r="V44" s="198"/>
      <c r="W44" s="192"/>
      <c r="X44" s="193"/>
      <c r="Y44" s="193"/>
      <c r="Z44" s="193"/>
      <c r="AA44" s="193"/>
      <c r="AB44" s="193"/>
      <c r="AC44" s="193"/>
    </row>
    <row r="48" spans="1:70">
      <c r="H48" s="160"/>
      <c r="I48" s="160"/>
      <c r="J48" s="160"/>
      <c r="O48" s="160"/>
      <c r="P48" s="160"/>
      <c r="Q48" s="160"/>
    </row>
    <row r="49" spans="1:70">
      <c r="H49" s="160"/>
      <c r="I49" s="160"/>
      <c r="J49" s="160"/>
      <c r="O49" s="160"/>
      <c r="P49" s="160"/>
      <c r="Q49" s="160"/>
    </row>
    <row r="50" spans="1:70">
      <c r="H50" s="160"/>
      <c r="I50" s="160"/>
      <c r="J50" s="160"/>
      <c r="O50" s="160"/>
      <c r="P50" s="160"/>
      <c r="Q50" s="160"/>
    </row>
    <row r="51" spans="1:70">
      <c r="H51" s="160"/>
      <c r="I51" s="160"/>
      <c r="J51" s="160"/>
      <c r="O51" s="160"/>
      <c r="P51" s="160"/>
      <c r="Q51" s="160"/>
    </row>
    <row r="52" spans="1:70" s="192" customFormat="1">
      <c r="A52" s="81"/>
      <c r="B52" s="81"/>
      <c r="C52" s="201"/>
      <c r="D52" s="201"/>
      <c r="H52" s="160"/>
      <c r="I52" s="160"/>
      <c r="J52" s="160"/>
      <c r="O52" s="160"/>
      <c r="P52" s="160"/>
      <c r="Q52" s="160"/>
      <c r="S52" s="81"/>
      <c r="T52" s="81"/>
      <c r="U52" s="81"/>
      <c r="V52" s="81"/>
      <c r="W52" s="203"/>
      <c r="X52" s="81"/>
      <c r="Y52" s="81"/>
      <c r="Z52" s="81"/>
      <c r="AA52" s="81"/>
      <c r="AB52" s="81"/>
      <c r="AC52" s="81"/>
      <c r="AD52" s="81"/>
      <c r="AE52" s="81"/>
      <c r="AF52" s="81"/>
      <c r="AG52" s="81"/>
      <c r="AH52" s="81"/>
      <c r="AI52" s="81"/>
      <c r="AJ52" s="81"/>
      <c r="AK52" s="81"/>
      <c r="AL52" s="81"/>
      <c r="AM52" s="81"/>
      <c r="AN52" s="81"/>
      <c r="AO52" s="81"/>
      <c r="AP52" s="81"/>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row>
    <row r="53" spans="1:70" s="192" customFormat="1">
      <c r="A53" s="81"/>
      <c r="B53" s="81"/>
      <c r="C53" s="201"/>
      <c r="D53" s="201"/>
      <c r="H53" s="160"/>
      <c r="I53" s="160"/>
      <c r="J53" s="160"/>
      <c r="O53" s="160"/>
      <c r="P53" s="160"/>
      <c r="Q53" s="160"/>
      <c r="S53" s="81"/>
      <c r="T53" s="81"/>
      <c r="U53" s="81"/>
      <c r="V53" s="81"/>
      <c r="W53" s="203"/>
      <c r="X53" s="81"/>
      <c r="Y53" s="81"/>
      <c r="Z53" s="81"/>
      <c r="AA53" s="81"/>
      <c r="AB53" s="81"/>
      <c r="AC53" s="81"/>
      <c r="AD53" s="81"/>
      <c r="AE53" s="81"/>
      <c r="AF53" s="81"/>
      <c r="AG53" s="81"/>
      <c r="AH53" s="81"/>
      <c r="AI53" s="81"/>
      <c r="AJ53" s="81"/>
      <c r="AK53" s="81"/>
      <c r="AL53" s="81"/>
      <c r="AM53" s="81"/>
      <c r="AN53" s="81"/>
      <c r="AO53" s="81"/>
      <c r="AP53" s="81"/>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row>
    <row r="54" spans="1:70" s="192" customFormat="1">
      <c r="A54" s="81"/>
      <c r="B54" s="81"/>
      <c r="C54" s="201"/>
      <c r="D54" s="201"/>
      <c r="H54" s="160"/>
      <c r="I54" s="160"/>
      <c r="J54" s="160"/>
      <c r="O54" s="160"/>
      <c r="P54" s="160"/>
      <c r="Q54" s="160"/>
      <c r="S54" s="81"/>
      <c r="T54" s="81"/>
      <c r="U54" s="81"/>
      <c r="V54" s="81"/>
      <c r="W54" s="203"/>
      <c r="X54" s="81"/>
      <c r="Y54" s="81"/>
      <c r="Z54" s="81"/>
      <c r="AA54" s="81"/>
      <c r="AB54" s="81"/>
      <c r="AC54" s="81"/>
      <c r="AD54" s="81"/>
      <c r="AE54" s="81"/>
      <c r="AF54" s="81"/>
      <c r="AG54" s="81"/>
      <c r="AH54" s="81"/>
      <c r="AI54" s="81"/>
      <c r="AJ54" s="81"/>
      <c r="AK54" s="81"/>
      <c r="AL54" s="81"/>
      <c r="AM54" s="81"/>
      <c r="AN54" s="81"/>
      <c r="AO54" s="81"/>
      <c r="AP54" s="81"/>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row>
    <row r="55" spans="1:70" s="192" customFormat="1">
      <c r="A55" s="81"/>
      <c r="B55" s="81"/>
      <c r="C55" s="201"/>
      <c r="D55" s="201"/>
      <c r="H55" s="160"/>
      <c r="I55" s="160"/>
      <c r="J55" s="160"/>
      <c r="O55" s="160"/>
      <c r="P55" s="160"/>
      <c r="Q55" s="160"/>
      <c r="S55" s="81"/>
      <c r="T55" s="81"/>
      <c r="U55" s="81"/>
      <c r="V55" s="81"/>
      <c r="W55" s="203"/>
      <c r="X55" s="81"/>
      <c r="Y55" s="81"/>
      <c r="Z55" s="81"/>
      <c r="AA55" s="81"/>
      <c r="AB55" s="81"/>
      <c r="AC55" s="81"/>
      <c r="AD55" s="81"/>
      <c r="AE55" s="81"/>
      <c r="AF55" s="81"/>
      <c r="AG55" s="81"/>
      <c r="AH55" s="81"/>
      <c r="AI55" s="81"/>
      <c r="AJ55" s="81"/>
      <c r="AK55" s="81"/>
      <c r="AL55" s="81"/>
      <c r="AM55" s="81"/>
      <c r="AN55" s="81"/>
      <c r="AO55" s="81"/>
      <c r="AP55" s="81"/>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row>
    <row r="56" spans="1:70" s="192" customFormat="1">
      <c r="A56" s="81"/>
      <c r="B56" s="81"/>
      <c r="C56" s="201"/>
      <c r="D56" s="201"/>
      <c r="H56" s="160"/>
      <c r="I56" s="160"/>
      <c r="J56" s="160"/>
      <c r="O56" s="160"/>
      <c r="P56" s="160"/>
      <c r="Q56" s="160"/>
      <c r="S56" s="81"/>
      <c r="T56" s="81"/>
      <c r="U56" s="81"/>
      <c r="V56" s="81"/>
      <c r="W56" s="203"/>
      <c r="X56" s="81"/>
      <c r="Y56" s="81"/>
      <c r="Z56" s="81"/>
      <c r="AA56" s="81"/>
      <c r="AB56" s="81"/>
      <c r="AC56" s="81"/>
      <c r="AD56" s="81"/>
      <c r="AE56" s="81"/>
      <c r="AF56" s="81"/>
      <c r="AG56" s="81"/>
      <c r="AH56" s="81"/>
      <c r="AI56" s="81"/>
      <c r="AJ56" s="81"/>
      <c r="AK56" s="81"/>
      <c r="AL56" s="81"/>
      <c r="AM56" s="81"/>
      <c r="AN56" s="81"/>
      <c r="AO56" s="81"/>
      <c r="AP56" s="81"/>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row>
    <row r="57" spans="1:70" s="192" customFormat="1">
      <c r="A57" s="81"/>
      <c r="B57" s="81"/>
      <c r="C57" s="201"/>
      <c r="D57" s="201"/>
      <c r="H57" s="160"/>
      <c r="I57" s="160"/>
      <c r="J57" s="160"/>
      <c r="O57" s="160"/>
      <c r="P57" s="160"/>
      <c r="Q57" s="160"/>
      <c r="S57" s="81"/>
      <c r="T57" s="81"/>
      <c r="U57" s="81"/>
      <c r="V57" s="81"/>
      <c r="W57" s="203"/>
      <c r="X57" s="81"/>
      <c r="Y57" s="81"/>
      <c r="Z57" s="81"/>
      <c r="AA57" s="81"/>
      <c r="AB57" s="81"/>
      <c r="AC57" s="81"/>
      <c r="AD57" s="81"/>
      <c r="AE57" s="81"/>
      <c r="AF57" s="81"/>
      <c r="AG57" s="81"/>
      <c r="AH57" s="81"/>
      <c r="AI57" s="81"/>
      <c r="AJ57" s="81"/>
      <c r="AK57" s="81"/>
      <c r="AL57" s="81"/>
      <c r="AM57" s="81"/>
      <c r="AN57" s="81"/>
      <c r="AO57" s="81"/>
      <c r="AP57" s="81"/>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row>
    <row r="58" spans="1:70" s="192" customFormat="1">
      <c r="A58" s="81"/>
      <c r="B58" s="81"/>
      <c r="C58" s="201"/>
      <c r="D58" s="201"/>
      <c r="H58" s="160"/>
      <c r="I58" s="160"/>
      <c r="J58" s="160"/>
      <c r="O58" s="160"/>
      <c r="P58" s="160"/>
      <c r="Q58" s="160"/>
      <c r="S58" s="81"/>
      <c r="T58" s="81"/>
      <c r="U58" s="81"/>
      <c r="V58" s="81"/>
      <c r="W58" s="203"/>
      <c r="X58" s="81"/>
      <c r="Y58" s="81"/>
      <c r="Z58" s="81"/>
      <c r="AA58" s="81"/>
      <c r="AB58" s="81"/>
      <c r="AC58" s="81"/>
      <c r="AD58" s="81"/>
      <c r="AE58" s="81"/>
      <c r="AF58" s="81"/>
      <c r="AG58" s="81"/>
      <c r="AH58" s="81"/>
      <c r="AI58" s="81"/>
      <c r="AJ58" s="81"/>
      <c r="AK58" s="81"/>
      <c r="AL58" s="81"/>
      <c r="AM58" s="81"/>
      <c r="AN58" s="81"/>
      <c r="AO58" s="81"/>
      <c r="AP58" s="81"/>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row>
    <row r="59" spans="1:70" s="192" customFormat="1">
      <c r="A59" s="81"/>
      <c r="B59" s="81"/>
      <c r="C59" s="201"/>
      <c r="D59" s="201"/>
      <c r="H59" s="160"/>
      <c r="I59" s="160"/>
      <c r="J59" s="160"/>
      <c r="O59" s="160"/>
      <c r="P59" s="160"/>
      <c r="Q59" s="160"/>
      <c r="S59" s="81"/>
      <c r="T59" s="81"/>
      <c r="U59" s="81"/>
      <c r="V59" s="81"/>
      <c r="W59" s="203"/>
      <c r="X59" s="81"/>
      <c r="Y59" s="81"/>
      <c r="Z59" s="81"/>
      <c r="AA59" s="81"/>
      <c r="AB59" s="81"/>
      <c r="AC59" s="81"/>
      <c r="AD59" s="81"/>
      <c r="AE59" s="81"/>
      <c r="AF59" s="81"/>
      <c r="AG59" s="81"/>
      <c r="AH59" s="81"/>
      <c r="AI59" s="81"/>
      <c r="AJ59" s="81"/>
      <c r="AK59" s="81"/>
      <c r="AL59" s="81"/>
      <c r="AM59" s="81"/>
      <c r="AN59" s="81"/>
      <c r="AO59" s="81"/>
      <c r="AP59" s="81"/>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row>
    <row r="60" spans="1:70" s="192" customFormat="1">
      <c r="A60" s="81"/>
      <c r="B60" s="81"/>
      <c r="C60" s="201"/>
      <c r="D60" s="201"/>
      <c r="H60" s="160"/>
      <c r="I60" s="160"/>
      <c r="J60" s="160"/>
      <c r="O60" s="160"/>
      <c r="P60" s="160"/>
      <c r="Q60" s="160"/>
      <c r="S60" s="81"/>
      <c r="T60" s="81"/>
      <c r="U60" s="81"/>
      <c r="V60" s="81"/>
      <c r="W60" s="203"/>
      <c r="X60" s="81"/>
      <c r="Y60" s="81"/>
      <c r="Z60" s="81"/>
      <c r="AA60" s="81"/>
      <c r="AB60" s="81"/>
      <c r="AC60" s="81"/>
      <c r="AD60" s="81"/>
      <c r="AE60" s="81"/>
      <c r="AF60" s="81"/>
      <c r="AG60" s="81"/>
      <c r="AH60" s="81"/>
      <c r="AI60" s="81"/>
      <c r="AJ60" s="81"/>
      <c r="AK60" s="81"/>
      <c r="AL60" s="81"/>
      <c r="AM60" s="81"/>
      <c r="AN60" s="81"/>
      <c r="AO60" s="81"/>
      <c r="AP60" s="81"/>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row>
    <row r="61" spans="1:70" s="192" customFormat="1">
      <c r="A61" s="81"/>
      <c r="B61" s="81"/>
      <c r="C61" s="201"/>
      <c r="D61" s="201"/>
      <c r="H61" s="202"/>
      <c r="I61" s="202"/>
      <c r="J61" s="202"/>
      <c r="O61" s="202"/>
      <c r="P61" s="202"/>
      <c r="Q61" s="202"/>
      <c r="S61" s="81"/>
      <c r="T61" s="81"/>
      <c r="U61" s="81"/>
      <c r="V61" s="81"/>
      <c r="W61" s="203"/>
      <c r="X61" s="81"/>
      <c r="Y61" s="81"/>
      <c r="Z61" s="81"/>
      <c r="AA61" s="81"/>
      <c r="AB61" s="81"/>
      <c r="AC61" s="81"/>
      <c r="AD61" s="81"/>
      <c r="AE61" s="81"/>
      <c r="AF61" s="81"/>
      <c r="AG61" s="81"/>
      <c r="AH61" s="81"/>
      <c r="AI61" s="81"/>
      <c r="AJ61" s="81"/>
      <c r="AK61" s="81"/>
      <c r="AL61" s="81"/>
      <c r="AM61" s="81"/>
      <c r="AN61" s="81"/>
      <c r="AO61" s="81"/>
      <c r="AP61" s="81"/>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row>
    <row r="62" spans="1:70" s="192" customFormat="1">
      <c r="A62" s="81"/>
      <c r="B62" s="81"/>
      <c r="C62" s="201"/>
      <c r="D62" s="201"/>
      <c r="H62" s="202"/>
      <c r="I62" s="202"/>
      <c r="J62" s="202"/>
      <c r="O62" s="202"/>
      <c r="P62" s="202"/>
      <c r="Q62" s="202"/>
      <c r="S62" s="81"/>
      <c r="T62" s="81"/>
      <c r="U62" s="81"/>
      <c r="V62" s="81"/>
      <c r="W62" s="203"/>
      <c r="X62" s="81"/>
      <c r="Y62" s="81"/>
      <c r="Z62" s="81"/>
      <c r="AA62" s="81"/>
      <c r="AB62" s="81"/>
      <c r="AC62" s="81"/>
      <c r="AD62" s="81"/>
      <c r="AE62" s="81"/>
      <c r="AF62" s="81"/>
      <c r="AG62" s="81"/>
      <c r="AH62" s="81"/>
      <c r="AI62" s="81"/>
      <c r="AJ62" s="81"/>
      <c r="AK62" s="81"/>
      <c r="AL62" s="81"/>
      <c r="AM62" s="81"/>
      <c r="AN62" s="81"/>
      <c r="AO62" s="81"/>
      <c r="AP62" s="81"/>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row>
    <row r="63" spans="1:70" s="192" customFormat="1">
      <c r="A63" s="81"/>
      <c r="B63" s="81"/>
      <c r="C63" s="201"/>
      <c r="D63" s="201"/>
      <c r="H63" s="202"/>
      <c r="I63" s="202"/>
      <c r="J63" s="202"/>
      <c r="O63" s="202"/>
      <c r="P63" s="202"/>
      <c r="Q63" s="202"/>
      <c r="S63" s="81"/>
      <c r="T63" s="81"/>
      <c r="U63" s="81"/>
      <c r="V63" s="81"/>
      <c r="W63" s="203"/>
      <c r="X63" s="81"/>
      <c r="Y63" s="81"/>
      <c r="Z63" s="81"/>
      <c r="AA63" s="81"/>
      <c r="AB63" s="81"/>
      <c r="AC63" s="81"/>
      <c r="AD63" s="81"/>
      <c r="AE63" s="81"/>
      <c r="AF63" s="81"/>
      <c r="AG63" s="81"/>
      <c r="AH63" s="81"/>
      <c r="AI63" s="81"/>
      <c r="AJ63" s="81"/>
      <c r="AK63" s="81"/>
      <c r="AL63" s="81"/>
      <c r="AM63" s="81"/>
      <c r="AN63" s="81"/>
      <c r="AO63" s="81"/>
      <c r="AP63" s="81"/>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row>
    <row r="64" spans="1:70" s="192" customFormat="1">
      <c r="A64" s="81"/>
      <c r="B64" s="81"/>
      <c r="C64" s="201"/>
      <c r="D64" s="201"/>
      <c r="H64" s="202"/>
      <c r="I64" s="202"/>
      <c r="J64" s="202"/>
      <c r="O64" s="202"/>
      <c r="P64" s="202"/>
      <c r="Q64" s="202"/>
      <c r="S64" s="81"/>
      <c r="T64" s="81"/>
      <c r="U64" s="81"/>
      <c r="V64" s="81"/>
      <c r="W64" s="203"/>
      <c r="X64" s="81"/>
      <c r="Y64" s="81"/>
      <c r="Z64" s="81"/>
      <c r="AA64" s="81"/>
      <c r="AB64" s="81"/>
      <c r="AC64" s="81"/>
      <c r="AD64" s="81"/>
      <c r="AE64" s="81"/>
      <c r="AF64" s="81"/>
      <c r="AG64" s="81"/>
      <c r="AH64" s="81"/>
      <c r="AI64" s="81"/>
      <c r="AJ64" s="81"/>
      <c r="AK64" s="81"/>
      <c r="AL64" s="81"/>
      <c r="AM64" s="81"/>
      <c r="AN64" s="81"/>
      <c r="AO64" s="81"/>
      <c r="AP64" s="81"/>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row>
    <row r="65" spans="1:70" s="192" customFormat="1">
      <c r="A65" s="81"/>
      <c r="B65" s="81"/>
      <c r="C65" s="201"/>
      <c r="D65" s="201"/>
      <c r="H65" s="202"/>
      <c r="I65" s="202"/>
      <c r="J65" s="202"/>
      <c r="O65" s="202"/>
      <c r="P65" s="202"/>
      <c r="Q65" s="202"/>
      <c r="S65" s="81"/>
      <c r="T65" s="81"/>
      <c r="U65" s="81"/>
      <c r="V65" s="81"/>
      <c r="W65" s="203"/>
      <c r="X65" s="81"/>
      <c r="Y65" s="81"/>
      <c r="Z65" s="81"/>
      <c r="AA65" s="81"/>
      <c r="AB65" s="81"/>
      <c r="AC65" s="81"/>
      <c r="AD65" s="81"/>
      <c r="AE65" s="81"/>
      <c r="AF65" s="81"/>
      <c r="AG65" s="81"/>
      <c r="AH65" s="81"/>
      <c r="AI65" s="81"/>
      <c r="AJ65" s="81"/>
      <c r="AK65" s="81"/>
      <c r="AL65" s="81"/>
      <c r="AM65" s="81"/>
      <c r="AN65" s="81"/>
      <c r="AO65" s="81"/>
      <c r="AP65" s="81"/>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row>
    <row r="66" spans="1:70" s="192" customFormat="1">
      <c r="A66" s="81"/>
      <c r="B66" s="81"/>
      <c r="C66" s="201"/>
      <c r="D66" s="201"/>
      <c r="H66" s="202"/>
      <c r="I66" s="202"/>
      <c r="J66" s="202"/>
      <c r="O66" s="202"/>
      <c r="P66" s="202"/>
      <c r="Q66" s="202"/>
      <c r="S66" s="81"/>
      <c r="T66" s="81"/>
      <c r="U66" s="81"/>
      <c r="V66" s="81"/>
      <c r="W66" s="203"/>
      <c r="X66" s="81"/>
      <c r="Y66" s="81"/>
      <c r="Z66" s="81"/>
      <c r="AA66" s="81"/>
      <c r="AB66" s="81"/>
      <c r="AC66" s="81"/>
      <c r="AD66" s="81"/>
      <c r="AE66" s="81"/>
      <c r="AF66" s="81"/>
      <c r="AG66" s="81"/>
      <c r="AH66" s="81"/>
      <c r="AI66" s="81"/>
      <c r="AJ66" s="81"/>
      <c r="AK66" s="81"/>
      <c r="AL66" s="81"/>
      <c r="AM66" s="81"/>
      <c r="AN66" s="81"/>
      <c r="AO66" s="81"/>
      <c r="AP66" s="81"/>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row>
  </sheetData>
  <phoneticPr fontId="3"/>
  <conditionalFormatting sqref="BB3:BB36 AV3:AV35">
    <cfRule type="cellIs" dxfId="7" priority="2" stopIfTrue="1" operator="lessThanOrEqual">
      <formula>12</formula>
    </cfRule>
  </conditionalFormatting>
  <conditionalFormatting sqref="BP3:BP35 BJ3:BJ35">
    <cfRule type="cellIs" dxfId="6" priority="1" stopIfTrue="1" operator="lessThanOrEqual">
      <formula>11</formula>
    </cfRule>
  </conditionalFormatting>
  <pageMargins left="0.23" right="0.2" top="0.98399999999999999" bottom="0.98399999999999999" header="0.51200000000000001" footer="0.51200000000000001"/>
  <pageSetup paperSize="9" scale="46" orientation="landscape"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BQ69"/>
  <sheetViews>
    <sheetView view="pageBreakPreview" zoomScale="140" zoomScaleNormal="100" zoomScaleSheetLayoutView="140" workbookViewId="0">
      <pane xSplit="2" ySplit="2" topLeftCell="C3" activePane="bottomRight" state="frozen"/>
      <selection pane="topRight" activeCell="C1" sqref="C1"/>
      <selection pane="bottomLeft" activeCell="A3" sqref="A3"/>
      <selection pane="bottomRight" activeCell="E10" sqref="E10"/>
    </sheetView>
  </sheetViews>
  <sheetFormatPr defaultRowHeight="13.5"/>
  <cols>
    <col min="1" max="1" width="3.75" style="81" bestFit="1" customWidth="1"/>
    <col min="2" max="2" width="15" style="81" bestFit="1" customWidth="1"/>
    <col min="3" max="3" width="6.625" style="201" customWidth="1"/>
    <col min="4" max="4" width="5.75" style="201" customWidth="1"/>
    <col min="5" max="6" width="8.25" style="192" customWidth="1"/>
    <col min="7" max="7" width="7.875" style="192" customWidth="1"/>
    <col min="8" max="8" width="10" style="202" customWidth="1"/>
    <col min="9" max="10" width="7.5" style="202" customWidth="1"/>
    <col min="11" max="13" width="7.25" style="192" customWidth="1"/>
    <col min="14" max="14" width="8.125" style="192" customWidth="1"/>
    <col min="15" max="15" width="10" style="202" customWidth="1"/>
    <col min="16" max="16" width="7.5" style="202" customWidth="1"/>
    <col min="17" max="17" width="8.125" style="202" customWidth="1"/>
    <col min="18" max="18" width="7.25" style="192" customWidth="1"/>
    <col min="19" max="22" width="7.125" style="81" customWidth="1"/>
    <col min="23" max="23" width="7.125" style="203" customWidth="1"/>
    <col min="24" max="37" width="7.125" style="81" customWidth="1"/>
    <col min="38" max="38" width="6.75" style="81" customWidth="1"/>
    <col min="39" max="39" width="5.75" style="81" customWidth="1"/>
    <col min="40" max="40" width="10.5" style="81" bestFit="1" customWidth="1"/>
    <col min="41" max="41" width="8.875" style="81" customWidth="1"/>
    <col min="42" max="16384" width="9" style="198"/>
  </cols>
  <sheetData>
    <row r="1" spans="1:69" s="184" customFormat="1">
      <c r="A1" s="212" t="s">
        <v>87</v>
      </c>
      <c r="B1" s="212" t="s">
        <v>88</v>
      </c>
      <c r="C1" s="213" t="s">
        <v>693</v>
      </c>
      <c r="D1" s="213" t="s">
        <v>228</v>
      </c>
      <c r="E1" s="214" t="s">
        <v>106</v>
      </c>
      <c r="F1" s="214" t="s">
        <v>107</v>
      </c>
      <c r="G1" s="214" t="s">
        <v>108</v>
      </c>
      <c r="H1" s="206" t="s">
        <v>91</v>
      </c>
      <c r="I1" s="206" t="s">
        <v>92</v>
      </c>
      <c r="J1" s="206" t="s">
        <v>239</v>
      </c>
      <c r="K1" s="214" t="s">
        <v>240</v>
      </c>
      <c r="L1" s="214" t="s">
        <v>109</v>
      </c>
      <c r="M1" s="214" t="s">
        <v>110</v>
      </c>
      <c r="N1" s="214" t="s">
        <v>111</v>
      </c>
      <c r="O1" s="206" t="s">
        <v>93</v>
      </c>
      <c r="P1" s="206" t="s">
        <v>94</v>
      </c>
      <c r="Q1" s="206" t="s">
        <v>241</v>
      </c>
      <c r="R1" s="214" t="s">
        <v>242</v>
      </c>
      <c r="S1" s="212" t="s">
        <v>650</v>
      </c>
      <c r="T1" s="212" t="s">
        <v>651</v>
      </c>
      <c r="U1" s="212" t="s">
        <v>594</v>
      </c>
      <c r="V1" s="212" t="s">
        <v>291</v>
      </c>
      <c r="W1" s="235" t="s">
        <v>95</v>
      </c>
      <c r="X1" s="236" t="s">
        <v>96</v>
      </c>
      <c r="Y1" s="236" t="s">
        <v>637</v>
      </c>
      <c r="Z1" s="236" t="s">
        <v>638</v>
      </c>
      <c r="AA1" s="212" t="s">
        <v>757</v>
      </c>
      <c r="AB1" s="212" t="s">
        <v>745</v>
      </c>
      <c r="AC1" s="212" t="s">
        <v>746</v>
      </c>
      <c r="AD1" s="212" t="s">
        <v>214</v>
      </c>
      <c r="AE1" s="212" t="s">
        <v>8</v>
      </c>
      <c r="AF1" s="236" t="s">
        <v>758</v>
      </c>
      <c r="AG1" s="236" t="s">
        <v>759</v>
      </c>
      <c r="AH1" s="212" t="s">
        <v>97</v>
      </c>
      <c r="AI1" s="212" t="s">
        <v>760</v>
      </c>
      <c r="AJ1" s="212" t="s">
        <v>3</v>
      </c>
      <c r="AK1" s="212" t="s">
        <v>11</v>
      </c>
      <c r="AL1" s="236" t="s">
        <v>12</v>
      </c>
      <c r="AM1" s="236" t="s">
        <v>98</v>
      </c>
      <c r="AN1" s="212" t="s">
        <v>105</v>
      </c>
      <c r="AO1" s="236" t="s">
        <v>190</v>
      </c>
      <c r="AP1" s="184" t="s">
        <v>289</v>
      </c>
      <c r="AV1" s="184" t="s">
        <v>288</v>
      </c>
      <c r="BA1" s="184" t="s">
        <v>654</v>
      </c>
      <c r="BB1" s="184" t="s">
        <v>653</v>
      </c>
      <c r="BC1" s="184" t="s">
        <v>656</v>
      </c>
      <c r="BD1" s="184" t="s">
        <v>286</v>
      </c>
      <c r="BJ1" s="184" t="s">
        <v>287</v>
      </c>
      <c r="BO1" s="184" t="s">
        <v>655</v>
      </c>
      <c r="BP1" s="184" t="s">
        <v>657</v>
      </c>
      <c r="BQ1" s="184" t="s">
        <v>658</v>
      </c>
    </row>
    <row r="2" spans="1:69" s="195" customFormat="1" ht="14.25" thickBot="1">
      <c r="A2" s="259"/>
      <c r="B2" s="285" t="s">
        <v>649</v>
      </c>
      <c r="C2" s="260"/>
      <c r="D2" s="260"/>
      <c r="E2" s="261"/>
      <c r="F2" s="261"/>
      <c r="G2" s="261"/>
      <c r="H2" s="262"/>
      <c r="I2" s="262"/>
      <c r="J2" s="262"/>
      <c r="K2" s="261"/>
      <c r="L2" s="261"/>
      <c r="M2" s="261"/>
      <c r="N2" s="261"/>
      <c r="O2" s="262"/>
      <c r="P2" s="262"/>
      <c r="Q2" s="262"/>
      <c r="R2" s="261"/>
      <c r="S2" s="263">
        <v>1</v>
      </c>
      <c r="T2" s="263">
        <v>1</v>
      </c>
      <c r="U2" s="287">
        <v>6</v>
      </c>
      <c r="V2" s="287">
        <v>4</v>
      </c>
      <c r="W2" s="264">
        <v>20</v>
      </c>
      <c r="X2" s="264">
        <v>20</v>
      </c>
      <c r="Y2" s="264">
        <v>5</v>
      </c>
      <c r="Z2" s="264">
        <v>5</v>
      </c>
      <c r="AA2" s="263">
        <v>4</v>
      </c>
      <c r="AB2" s="263">
        <v>4</v>
      </c>
      <c r="AC2" s="263">
        <v>4</v>
      </c>
      <c r="AD2" s="263">
        <v>4</v>
      </c>
      <c r="AE2" s="263">
        <v>2</v>
      </c>
      <c r="AF2" s="264">
        <v>2</v>
      </c>
      <c r="AG2" s="264">
        <v>10</v>
      </c>
      <c r="AH2" s="263">
        <v>5</v>
      </c>
      <c r="AI2" s="263">
        <v>5</v>
      </c>
      <c r="AJ2" s="263">
        <v>5</v>
      </c>
      <c r="AK2" s="263">
        <v>5</v>
      </c>
      <c r="AL2" s="264">
        <f>SUM(W2:AK2)</f>
        <v>100</v>
      </c>
      <c r="AM2" s="265"/>
      <c r="AN2" s="259"/>
      <c r="AO2" s="265"/>
      <c r="AP2" s="195">
        <v>1</v>
      </c>
      <c r="AQ2" s="195">
        <v>2</v>
      </c>
      <c r="AR2" s="195">
        <v>3</v>
      </c>
      <c r="AS2" s="195">
        <v>4</v>
      </c>
      <c r="AT2" s="195">
        <v>5</v>
      </c>
      <c r="AU2" s="195" t="s">
        <v>613</v>
      </c>
      <c r="AV2" s="195">
        <v>1</v>
      </c>
      <c r="AW2" s="195">
        <v>2</v>
      </c>
      <c r="AX2" s="195">
        <v>3</v>
      </c>
      <c r="AY2" s="195">
        <v>4</v>
      </c>
      <c r="AZ2" s="195">
        <v>5</v>
      </c>
      <c r="BA2" s="195" t="s">
        <v>613</v>
      </c>
      <c r="BD2" s="195">
        <v>1</v>
      </c>
      <c r="BE2" s="195">
        <v>2</v>
      </c>
      <c r="BF2" s="195">
        <v>3</v>
      </c>
      <c r="BG2" s="195">
        <v>4</v>
      </c>
      <c r="BH2" s="195">
        <v>5</v>
      </c>
      <c r="BI2" s="195" t="s">
        <v>613</v>
      </c>
      <c r="BJ2" s="195">
        <v>1</v>
      </c>
      <c r="BK2" s="195">
        <v>2</v>
      </c>
      <c r="BL2" s="195">
        <v>3</v>
      </c>
      <c r="BM2" s="195">
        <v>4</v>
      </c>
      <c r="BN2" s="195">
        <v>5</v>
      </c>
      <c r="BO2" s="195" t="s">
        <v>613</v>
      </c>
    </row>
    <row r="3" spans="1:69">
      <c r="A3" s="227" t="s">
        <v>99</v>
      </c>
      <c r="B3" s="227" t="s">
        <v>126</v>
      </c>
      <c r="C3" s="228" t="s">
        <v>280</v>
      </c>
      <c r="D3" s="228">
        <v>4</v>
      </c>
      <c r="E3" s="229">
        <v>0.53472222222222221</v>
      </c>
      <c r="F3" s="229">
        <v>0.55554398148148143</v>
      </c>
      <c r="G3" s="229">
        <v>0.65425925925925921</v>
      </c>
      <c r="H3" s="210">
        <f>F3-E3</f>
        <v>2.082175925925922E-2</v>
      </c>
      <c r="I3" s="210">
        <f>H3-MIN(H$3:H$27)</f>
        <v>0</v>
      </c>
      <c r="J3" s="210">
        <f>G3-E3</f>
        <v>0.119537037037037</v>
      </c>
      <c r="K3" s="229">
        <v>0.13194444444444445</v>
      </c>
      <c r="L3" s="229">
        <v>0.32291666666666669</v>
      </c>
      <c r="M3" s="229">
        <v>0.3392592592592592</v>
      </c>
      <c r="N3" s="229"/>
      <c r="O3" s="210">
        <f>M3-L3</f>
        <v>1.634259259259252E-2</v>
      </c>
      <c r="P3" s="210">
        <f>O3-MIN(O$3:O$27)</f>
        <v>4.5138888888884843E-4</v>
      </c>
      <c r="Q3" s="210">
        <f>N3-L3</f>
        <v>-0.32291666666666669</v>
      </c>
      <c r="R3" s="229">
        <v>0.15972222222222224</v>
      </c>
      <c r="S3" s="230">
        <v>1</v>
      </c>
      <c r="T3" s="230">
        <v>1</v>
      </c>
      <c r="U3" s="230">
        <v>5</v>
      </c>
      <c r="V3" s="230">
        <v>4</v>
      </c>
      <c r="W3" s="240">
        <f>ROUND(MAX(W$2-I3*60*24*0.5+BC3,0),1)</f>
        <v>20</v>
      </c>
      <c r="X3" s="240">
        <f>ROUND(MAX(X$2-P3*60*24*0.5+BQ3,0),1)</f>
        <v>19.7</v>
      </c>
      <c r="Y3" s="240">
        <f>ROUND(MAX(MIN(Y$2+(K3-J3)*60*24*0.2,$Y$2),0),1)</f>
        <v>5</v>
      </c>
      <c r="Z3" s="240">
        <f>ROUND(MAX(MIN($Z$2+(R3-Q3)*60*24*0.2,$Z$2),0),1)</f>
        <v>5</v>
      </c>
      <c r="AA3" s="230">
        <v>4</v>
      </c>
      <c r="AB3" s="230">
        <v>3.9</v>
      </c>
      <c r="AC3" s="230">
        <v>3.7</v>
      </c>
      <c r="AD3" s="230">
        <v>3.6</v>
      </c>
      <c r="AE3" s="230">
        <v>2</v>
      </c>
      <c r="AF3" s="240">
        <f>SUM(S3:T3)</f>
        <v>2</v>
      </c>
      <c r="AG3" s="240">
        <f>SUM(U3:V3)</f>
        <v>9</v>
      </c>
      <c r="AH3" s="230">
        <v>5</v>
      </c>
      <c r="AI3" s="230">
        <v>5</v>
      </c>
      <c r="AJ3" s="230">
        <v>5</v>
      </c>
      <c r="AK3" s="230">
        <v>5</v>
      </c>
      <c r="AL3" s="240">
        <f>SUM(W3:AK3)</f>
        <v>97.9</v>
      </c>
      <c r="AM3" s="245">
        <f>RANK(AL3,$AL$3:$AL$10)</f>
        <v>2</v>
      </c>
      <c r="AN3" s="227"/>
      <c r="AO3" s="245">
        <f>RANK(I3,$I$3:$I$10,1)</f>
        <v>1</v>
      </c>
      <c r="AP3" s="196">
        <v>10.3</v>
      </c>
      <c r="AQ3" s="196">
        <v>12.45</v>
      </c>
      <c r="AR3" s="196">
        <v>13</v>
      </c>
      <c r="AS3" s="196">
        <v>12.9</v>
      </c>
      <c r="AT3" s="196"/>
      <c r="AU3" s="197">
        <f>AVERAGE(AP3:AT3)</f>
        <v>12.1625</v>
      </c>
      <c r="AV3" s="196">
        <v>10.25</v>
      </c>
      <c r="AW3" s="196">
        <v>12.45</v>
      </c>
      <c r="AX3" s="196">
        <v>12.85</v>
      </c>
      <c r="AY3" s="196">
        <v>13</v>
      </c>
      <c r="BA3" s="199">
        <f>AVERAGE(AV3:AY3)</f>
        <v>12.137499999999999</v>
      </c>
      <c r="BB3" s="200">
        <v>12</v>
      </c>
      <c r="BC3" s="200">
        <f>IF(ISERR(BA3),0,IF(BA3&lt;BB3,BA3-BB3,0))</f>
        <v>0</v>
      </c>
      <c r="BD3" s="196">
        <v>10.5</v>
      </c>
      <c r="BE3" s="196">
        <v>11.5</v>
      </c>
      <c r="BF3" s="196">
        <v>11.65</v>
      </c>
      <c r="BG3" s="196">
        <v>12.5</v>
      </c>
      <c r="BI3" s="199">
        <f>AVERAGE(BD3:BG3)</f>
        <v>11.5375</v>
      </c>
      <c r="BJ3" s="196">
        <v>11.9</v>
      </c>
      <c r="BK3" s="196">
        <v>11.2</v>
      </c>
      <c r="BL3" s="196">
        <v>10.199999999999999</v>
      </c>
      <c r="BM3" s="196">
        <v>12.1</v>
      </c>
      <c r="BN3" s="196"/>
      <c r="BO3" s="199">
        <f>AVERAGE(BJ3:BM3)</f>
        <v>11.35</v>
      </c>
      <c r="BP3" s="200">
        <v>11</v>
      </c>
      <c r="BQ3" s="200">
        <f>IF(ISERR(BO3),0,IF(BO3&lt;BP3,BO3-BP3,0))</f>
        <v>0</v>
      </c>
    </row>
    <row r="4" spans="1:69">
      <c r="A4" s="218" t="s">
        <v>99</v>
      </c>
      <c r="B4" s="218" t="s">
        <v>124</v>
      </c>
      <c r="C4" s="219" t="s">
        <v>660</v>
      </c>
      <c r="D4" s="219">
        <v>4</v>
      </c>
      <c r="E4" s="220">
        <v>0.53541666666666665</v>
      </c>
      <c r="F4" s="220">
        <v>0.56491898148148145</v>
      </c>
      <c r="G4" s="220">
        <v>0.66295138888888883</v>
      </c>
      <c r="H4" s="208">
        <f>F4-E4</f>
        <v>2.9502314814814801E-2</v>
      </c>
      <c r="I4" s="208">
        <f>H4-MIN(H$3:H$27)</f>
        <v>8.6805555555555802E-3</v>
      </c>
      <c r="J4" s="208">
        <f>G4-E4</f>
        <v>0.12753472222222217</v>
      </c>
      <c r="K4" s="220">
        <v>0.13194444444444445</v>
      </c>
      <c r="L4" s="220">
        <v>0.32569444444444445</v>
      </c>
      <c r="M4" s="220">
        <v>0.34825231481481483</v>
      </c>
      <c r="N4" s="220"/>
      <c r="O4" s="208">
        <f>M4-L4</f>
        <v>2.2557870370370381E-2</v>
      </c>
      <c r="P4" s="208">
        <f>O4-MIN(O$3:O$27)</f>
        <v>6.6666666666667096E-3</v>
      </c>
      <c r="Q4" s="208">
        <f>N4-L4</f>
        <v>-0.32569444444444445</v>
      </c>
      <c r="R4" s="220">
        <v>0.15972222222222224</v>
      </c>
      <c r="S4" s="221">
        <v>0.8</v>
      </c>
      <c r="T4" s="221">
        <v>0.4</v>
      </c>
      <c r="U4" s="221">
        <v>2</v>
      </c>
      <c r="V4" s="221">
        <v>4</v>
      </c>
      <c r="W4" s="238">
        <f>ROUND(MAX(W$2-I4*60*24*0.5+BC4,0),1)</f>
        <v>13.8</v>
      </c>
      <c r="X4" s="238">
        <f>ROUND(MAX(X$2-P4*60*24*0.5+BQ4,0),1)</f>
        <v>15.2</v>
      </c>
      <c r="Y4" s="238">
        <f>ROUND(MAX(MIN(Y$2+(K4-J4)*60*24*0.2,$Y$2),0),1)</f>
        <v>5</v>
      </c>
      <c r="Z4" s="238">
        <f>ROUND(MAX(MIN($Z$2+(R4-Q4)*60*24*0.2,$Z$2),0),1)</f>
        <v>5</v>
      </c>
      <c r="AA4" s="221">
        <v>0.6</v>
      </c>
      <c r="AB4" s="221">
        <v>3</v>
      </c>
      <c r="AC4" s="221">
        <v>2.5</v>
      </c>
      <c r="AD4" s="221">
        <v>2.2999999999999998</v>
      </c>
      <c r="AE4" s="221">
        <v>1.6</v>
      </c>
      <c r="AF4" s="238">
        <f>SUM(S4:T4)</f>
        <v>1.2000000000000002</v>
      </c>
      <c r="AG4" s="238">
        <f>SUM(U4:V4)</f>
        <v>6</v>
      </c>
      <c r="AH4" s="221">
        <v>1.6</v>
      </c>
      <c r="AI4" s="221">
        <v>5</v>
      </c>
      <c r="AJ4" s="221">
        <v>5</v>
      </c>
      <c r="AK4" s="221">
        <v>5</v>
      </c>
      <c r="AL4" s="238">
        <f>SUM(W4:AK4)</f>
        <v>72.800000000000011</v>
      </c>
      <c r="AM4" s="243">
        <f>RANK(AL4,$AL$3:$AL$10)</f>
        <v>6</v>
      </c>
      <c r="AN4" s="218"/>
      <c r="AO4" s="243">
        <f>RANK(I4,$I$3:$I$10,1)</f>
        <v>5</v>
      </c>
      <c r="AP4" s="196">
        <v>12</v>
      </c>
      <c r="AQ4" s="196">
        <v>11.8</v>
      </c>
      <c r="AR4" s="196">
        <v>13.2</v>
      </c>
      <c r="AS4" s="196">
        <v>12.6</v>
      </c>
      <c r="AT4" s="196"/>
      <c r="AU4" s="197">
        <f>AVERAGE(AP4:AT4)</f>
        <v>12.4</v>
      </c>
      <c r="AV4" s="196">
        <v>12.4</v>
      </c>
      <c r="AW4" s="196">
        <v>13.2</v>
      </c>
      <c r="AX4" s="196">
        <v>11.7</v>
      </c>
      <c r="AY4" s="196">
        <v>12</v>
      </c>
      <c r="BA4" s="199">
        <f>AVERAGE(AV4:AY4)</f>
        <v>12.324999999999999</v>
      </c>
      <c r="BB4" s="200">
        <v>12</v>
      </c>
      <c r="BC4" s="200">
        <f>IF(ISERR(BA4),0,IF(BA4&lt;BB4,BA4-BB4,0))</f>
        <v>0</v>
      </c>
      <c r="BD4" s="196">
        <v>14.75</v>
      </c>
      <c r="BE4" s="196">
        <v>11</v>
      </c>
      <c r="BF4" s="196">
        <v>13.5</v>
      </c>
      <c r="BG4" s="196">
        <v>11.3</v>
      </c>
      <c r="BI4" s="199">
        <f>AVERAGE(BD4:BG4)</f>
        <v>12.637499999999999</v>
      </c>
      <c r="BJ4" s="196">
        <v>11</v>
      </c>
      <c r="BK4" s="196">
        <v>14</v>
      </c>
      <c r="BL4" s="196">
        <v>13.2</v>
      </c>
      <c r="BM4" s="196">
        <v>11</v>
      </c>
      <c r="BN4" s="196"/>
      <c r="BO4" s="199">
        <f>AVERAGE(BJ4:BM4)</f>
        <v>12.3</v>
      </c>
      <c r="BP4" s="200">
        <v>11</v>
      </c>
      <c r="BQ4" s="200">
        <f>IF(ISERR(BO4),0,IF(BO4&lt;BP4,BO4-BP4,0))</f>
        <v>0</v>
      </c>
    </row>
    <row r="5" spans="1:69">
      <c r="A5" s="218" t="s">
        <v>99</v>
      </c>
      <c r="B5" s="218" t="s">
        <v>123</v>
      </c>
      <c r="C5" s="219" t="s">
        <v>661</v>
      </c>
      <c r="D5" s="219">
        <v>4</v>
      </c>
      <c r="E5" s="229">
        <v>0.53611111111111109</v>
      </c>
      <c r="F5" s="220">
        <v>0.55762731481481487</v>
      </c>
      <c r="G5" s="220">
        <v>0.65900462962962958</v>
      </c>
      <c r="H5" s="208">
        <f>F5-E5</f>
        <v>2.1516203703703773E-2</v>
      </c>
      <c r="I5" s="208">
        <f>H5-MIN(H$3:H$27)</f>
        <v>6.94444444444553E-4</v>
      </c>
      <c r="J5" s="208">
        <f>G5-E5</f>
        <v>0.12289351851851849</v>
      </c>
      <c r="K5" s="220">
        <v>0.13194444444444445</v>
      </c>
      <c r="L5" s="229">
        <v>0.32361111111111113</v>
      </c>
      <c r="M5" s="220">
        <v>0.3395023148148148</v>
      </c>
      <c r="N5" s="220"/>
      <c r="O5" s="208">
        <f>M5-L5</f>
        <v>1.5891203703703671E-2</v>
      </c>
      <c r="P5" s="208">
        <f>O5-MIN(O$3:O$27)</f>
        <v>0</v>
      </c>
      <c r="Q5" s="208">
        <f>N5-L5</f>
        <v>-0.32361111111111113</v>
      </c>
      <c r="R5" s="220">
        <v>0.15972222222222224</v>
      </c>
      <c r="S5" s="221">
        <v>0.8</v>
      </c>
      <c r="T5" s="221">
        <v>1</v>
      </c>
      <c r="U5" s="221">
        <v>6</v>
      </c>
      <c r="V5" s="221">
        <v>4</v>
      </c>
      <c r="W5" s="238">
        <f>ROUND(MAX(W$2-I5*60*24*0.5+BC5,0),1)</f>
        <v>19.5</v>
      </c>
      <c r="X5" s="238">
        <f>ROUND(MAX(X$2-P5*60*24*0.5+BQ5,0),1)</f>
        <v>20</v>
      </c>
      <c r="Y5" s="238">
        <f>ROUND(MAX(MIN(Y$2+(K5-J5)*60*24*0.2,$Y$2),0),1)</f>
        <v>5</v>
      </c>
      <c r="Z5" s="238">
        <f>ROUND(MAX(MIN($Z$2+(R5-Q5)*60*24*0.2,$Z$2),0),1)</f>
        <v>5</v>
      </c>
      <c r="AA5" s="221">
        <v>3.9</v>
      </c>
      <c r="AB5" s="221">
        <v>4</v>
      </c>
      <c r="AC5" s="221">
        <v>3.7</v>
      </c>
      <c r="AD5" s="221">
        <v>3.3</v>
      </c>
      <c r="AE5" s="221">
        <v>2</v>
      </c>
      <c r="AF5" s="238">
        <f>SUM(S5:T5)</f>
        <v>1.8</v>
      </c>
      <c r="AG5" s="238">
        <f>SUM(U5:V5)</f>
        <v>10</v>
      </c>
      <c r="AH5" s="221">
        <v>5</v>
      </c>
      <c r="AI5" s="221">
        <v>5</v>
      </c>
      <c r="AJ5" s="221">
        <v>5</v>
      </c>
      <c r="AK5" s="221">
        <v>5</v>
      </c>
      <c r="AL5" s="238">
        <f>SUM(W5:AK5)</f>
        <v>98.2</v>
      </c>
      <c r="AM5" s="243">
        <f>RANK(AL5,$AL$3:$AL$10)</f>
        <v>1</v>
      </c>
      <c r="AN5" s="218"/>
      <c r="AO5" s="243">
        <f>RANK(I5,$I$3:$I$10,1)</f>
        <v>2</v>
      </c>
      <c r="AP5" s="196">
        <v>13.15</v>
      </c>
      <c r="AQ5" s="196">
        <v>11.45</v>
      </c>
      <c r="AR5" s="196">
        <v>12.35</v>
      </c>
      <c r="AS5" s="196">
        <v>11.4</v>
      </c>
      <c r="AT5" s="196"/>
      <c r="AU5" s="197">
        <f>AVERAGE(AP5:AT5)</f>
        <v>12.0875</v>
      </c>
      <c r="AV5" s="196">
        <v>11.35</v>
      </c>
      <c r="AW5" s="196">
        <v>13.2</v>
      </c>
      <c r="AX5" s="196">
        <v>12.35</v>
      </c>
      <c r="AY5" s="196">
        <v>11.45</v>
      </c>
      <c r="BA5" s="199">
        <f>AVERAGE(AV5:AY5)</f>
        <v>12.087499999999999</v>
      </c>
      <c r="BB5" s="200">
        <v>12</v>
      </c>
      <c r="BC5" s="200">
        <f>IF(ISERR(BA5),0,IF(BA5&lt;BB5,BA5-BB5,0))</f>
        <v>0</v>
      </c>
      <c r="BD5" s="196">
        <v>12.2</v>
      </c>
      <c r="BE5" s="196">
        <v>10.050000000000001</v>
      </c>
      <c r="BF5" s="196">
        <v>10.85</v>
      </c>
      <c r="BG5" s="196">
        <v>11.25</v>
      </c>
      <c r="BI5" s="199">
        <f>AVERAGE(BD5:BG5)</f>
        <v>11.0875</v>
      </c>
      <c r="BJ5" s="196">
        <v>12.1</v>
      </c>
      <c r="BK5" s="196">
        <v>10.1</v>
      </c>
      <c r="BL5" s="196">
        <v>10.9</v>
      </c>
      <c r="BM5" s="196">
        <v>11.1</v>
      </c>
      <c r="BN5" s="196"/>
      <c r="BO5" s="199">
        <f>AVERAGE(BJ5:BM5)</f>
        <v>11.05</v>
      </c>
      <c r="BP5" s="200">
        <v>11</v>
      </c>
      <c r="BQ5" s="200">
        <f>IF(ISERR(BO5),0,IF(BO5&lt;BP5,BO5-BP5,0))</f>
        <v>0</v>
      </c>
    </row>
    <row r="6" spans="1:69">
      <c r="A6" s="218" t="s">
        <v>99</v>
      </c>
      <c r="B6" s="218" t="s">
        <v>133</v>
      </c>
      <c r="C6" s="219" t="s">
        <v>662</v>
      </c>
      <c r="D6" s="219">
        <v>4</v>
      </c>
      <c r="E6" s="229">
        <v>0.53680555555555554</v>
      </c>
      <c r="F6" s="220">
        <v>0.57450231481481484</v>
      </c>
      <c r="G6" s="220">
        <v>0.66502314814814811</v>
      </c>
      <c r="H6" s="208">
        <f>F6-E6</f>
        <v>3.7696759259259305E-2</v>
      </c>
      <c r="I6" s="208">
        <f>H6-MIN(H$3:H$27)</f>
        <v>1.6875000000000084E-2</v>
      </c>
      <c r="J6" s="208">
        <f>G6-E6</f>
        <v>0.12821759259259258</v>
      </c>
      <c r="K6" s="220">
        <v>0.13194444444444445</v>
      </c>
      <c r="L6" s="220">
        <v>0.32777777777777778</v>
      </c>
      <c r="M6" s="220">
        <v>0.35296296296296298</v>
      </c>
      <c r="N6" s="220"/>
      <c r="O6" s="208">
        <f>M6-L6</f>
        <v>2.5185185185185199E-2</v>
      </c>
      <c r="P6" s="208">
        <f>O6-MIN(O$3:O$27)</f>
        <v>9.293981481481528E-3</v>
      </c>
      <c r="Q6" s="208">
        <f>N6-L6</f>
        <v>-0.32777777777777778</v>
      </c>
      <c r="R6" s="220">
        <v>0.15972222222222224</v>
      </c>
      <c r="S6" s="221">
        <v>0.2</v>
      </c>
      <c r="T6" s="221">
        <v>0.8</v>
      </c>
      <c r="U6" s="221">
        <v>3</v>
      </c>
      <c r="V6" s="221">
        <v>2</v>
      </c>
      <c r="W6" s="238">
        <f>ROUND(MAX(W$2-I6*60*24*0.5+BC6,0),1)</f>
        <v>7.8</v>
      </c>
      <c r="X6" s="238">
        <f>ROUND(MAX(X$2-P6*60*24*0.5+BQ6,0),1)</f>
        <v>13.3</v>
      </c>
      <c r="Y6" s="238">
        <f>ROUND(MAX(MIN(Y$2+(K6-J6)*60*24*0.2,$Y$2),0),1)</f>
        <v>5</v>
      </c>
      <c r="Z6" s="238">
        <f>ROUND(MAX(MIN($Z$2+(R6-Q6)*60*24*0.2,$Z$2),0),1)</f>
        <v>5</v>
      </c>
      <c r="AA6" s="221">
        <v>0.5</v>
      </c>
      <c r="AB6" s="221">
        <v>2.2999999999999998</v>
      </c>
      <c r="AC6" s="221">
        <v>1.8</v>
      </c>
      <c r="AD6" s="221">
        <v>1.4</v>
      </c>
      <c r="AE6" s="221">
        <v>1</v>
      </c>
      <c r="AF6" s="238">
        <f>SUM(S6:T6)</f>
        <v>1</v>
      </c>
      <c r="AG6" s="238">
        <f>SUM(U6:V6)</f>
        <v>5</v>
      </c>
      <c r="AH6" s="221">
        <v>3</v>
      </c>
      <c r="AI6" s="221">
        <v>5</v>
      </c>
      <c r="AJ6" s="221">
        <v>5</v>
      </c>
      <c r="AK6" s="221">
        <v>4.5</v>
      </c>
      <c r="AL6" s="238">
        <f>SUM(W6:AK6)</f>
        <v>61.599999999999994</v>
      </c>
      <c r="AM6" s="243">
        <f>RANK(AL6,$AL$3:$AL$10)</f>
        <v>7</v>
      </c>
      <c r="AN6" s="218"/>
      <c r="AO6" s="243">
        <f>RANK(I6,$I$3:$I$10,1)</f>
        <v>8</v>
      </c>
      <c r="AP6" s="196">
        <v>13.4</v>
      </c>
      <c r="AQ6" s="196">
        <v>12.5</v>
      </c>
      <c r="AR6" s="196">
        <v>11.5</v>
      </c>
      <c r="AS6" s="196">
        <v>11.65</v>
      </c>
      <c r="AT6" s="196"/>
      <c r="AU6" s="197">
        <f>AVERAGE(AP6:AT6)</f>
        <v>12.262499999999999</v>
      </c>
      <c r="AV6" s="196">
        <v>11.55</v>
      </c>
      <c r="AW6" s="196">
        <v>12.8</v>
      </c>
      <c r="AX6" s="196">
        <v>11.7</v>
      </c>
      <c r="AY6" s="196">
        <v>12.5</v>
      </c>
      <c r="BA6" s="199">
        <f>AVERAGE(AV6:AY6)</f>
        <v>12.137499999999999</v>
      </c>
      <c r="BB6" s="200">
        <v>12</v>
      </c>
      <c r="BC6" s="200">
        <f>IF(ISERR(BA6),0,IF(BA6&lt;BB6,BA6-BB6,0))</f>
        <v>0</v>
      </c>
      <c r="BD6" s="196">
        <v>11.05</v>
      </c>
      <c r="BE6" s="196">
        <v>12</v>
      </c>
      <c r="BF6" s="196">
        <v>11.25</v>
      </c>
      <c r="BG6" s="196">
        <v>13.45</v>
      </c>
      <c r="BI6" s="199">
        <f>AVERAGE(BD6:BG6)</f>
        <v>11.9375</v>
      </c>
      <c r="BJ6" s="196">
        <v>13.2</v>
      </c>
      <c r="BK6" s="196">
        <v>11.3</v>
      </c>
      <c r="BL6" s="196">
        <v>12</v>
      </c>
      <c r="BM6" s="196">
        <v>11.2</v>
      </c>
      <c r="BN6" s="196"/>
      <c r="BO6" s="199">
        <f>AVERAGE(BJ6:BM6)</f>
        <v>11.925000000000001</v>
      </c>
      <c r="BP6" s="200">
        <v>11</v>
      </c>
      <c r="BQ6" s="200">
        <f>IF(ISERR(BO6),0,IF(BO6&lt;BP6,BO6-BP6,0))</f>
        <v>0</v>
      </c>
    </row>
    <row r="7" spans="1:69">
      <c r="A7" s="218" t="s">
        <v>99</v>
      </c>
      <c r="B7" s="218" t="s">
        <v>179</v>
      </c>
      <c r="C7" s="219" t="s">
        <v>663</v>
      </c>
      <c r="D7" s="219">
        <v>4</v>
      </c>
      <c r="E7" s="220">
        <v>0.53749999999999998</v>
      </c>
      <c r="F7" s="220">
        <v>0.57049768518518518</v>
      </c>
      <c r="G7" s="220">
        <v>0.66765046296296304</v>
      </c>
      <c r="H7" s="208">
        <f>F7-E7</f>
        <v>3.2997685185185199E-2</v>
      </c>
      <c r="I7" s="208">
        <f>H7-MIN(H$3:H$27)</f>
        <v>1.2175925925925979E-2</v>
      </c>
      <c r="J7" s="208">
        <f>G7-E7</f>
        <v>0.13015046296296306</v>
      </c>
      <c r="K7" s="220">
        <v>0.13194444444444445</v>
      </c>
      <c r="L7" s="229">
        <v>0.3263888888888889</v>
      </c>
      <c r="M7" s="220">
        <v>0.35101851851851856</v>
      </c>
      <c r="N7" s="220"/>
      <c r="O7" s="208">
        <f>M7-L7</f>
        <v>2.4629629629629668E-2</v>
      </c>
      <c r="P7" s="208">
        <f>O7-MIN(O$3:O$27)</f>
        <v>8.7384259259259967E-3</v>
      </c>
      <c r="Q7" s="208">
        <f>N7-L7</f>
        <v>-0.3263888888888889</v>
      </c>
      <c r="R7" s="220">
        <v>0.15972222222222224</v>
      </c>
      <c r="S7" s="221">
        <v>0.6</v>
      </c>
      <c r="T7" s="221">
        <v>0.6</v>
      </c>
      <c r="U7" s="221">
        <v>5</v>
      </c>
      <c r="V7" s="221">
        <v>3</v>
      </c>
      <c r="W7" s="238">
        <f>ROUND(MAX(W$2-I7*60*24*0.5+BC7,0),1)</f>
        <v>11.2</v>
      </c>
      <c r="X7" s="238">
        <f>ROUND(MAX(X$2-P7*60*24*0.5+BQ7,0),1)</f>
        <v>13.7</v>
      </c>
      <c r="Y7" s="238">
        <f>ROUND(MAX(MIN(Y$2+(K7-J7)*60*24*0.2,$Y$2),0),1)</f>
        <v>5</v>
      </c>
      <c r="Z7" s="238">
        <f>ROUND(MAX(MIN($Z$2+(R7-Q7)*60*24*0.2,$Z$2),0),1)</f>
        <v>5</v>
      </c>
      <c r="AA7" s="221">
        <v>2.5</v>
      </c>
      <c r="AB7" s="221">
        <v>2.2999999999999998</v>
      </c>
      <c r="AC7" s="221">
        <v>3.5</v>
      </c>
      <c r="AD7" s="221">
        <v>2.9</v>
      </c>
      <c r="AE7" s="221">
        <v>2</v>
      </c>
      <c r="AF7" s="238">
        <f>SUM(S7:T7)</f>
        <v>1.2</v>
      </c>
      <c r="AG7" s="238">
        <f>SUM(U7:V7)</f>
        <v>8</v>
      </c>
      <c r="AH7" s="221">
        <v>3.5</v>
      </c>
      <c r="AI7" s="221">
        <v>4.8</v>
      </c>
      <c r="AJ7" s="221">
        <v>5</v>
      </c>
      <c r="AK7" s="221">
        <v>5</v>
      </c>
      <c r="AL7" s="238">
        <f>SUM(W7:AK7)</f>
        <v>75.599999999999994</v>
      </c>
      <c r="AM7" s="243">
        <f>RANK(AL7,$AL$3:$AL$10)</f>
        <v>5</v>
      </c>
      <c r="AN7" s="218"/>
      <c r="AO7" s="243">
        <f>RANK(I7,$I$3:$I$10,1)</f>
        <v>6</v>
      </c>
      <c r="AP7" s="196">
        <v>12.9</v>
      </c>
      <c r="AQ7" s="196">
        <v>12.55</v>
      </c>
      <c r="AR7" s="196">
        <v>12.8</v>
      </c>
      <c r="AS7" s="196">
        <v>13.65</v>
      </c>
      <c r="AT7" s="196"/>
      <c r="AU7" s="197">
        <f>AVERAGE(AP7:AT7)</f>
        <v>12.975</v>
      </c>
      <c r="AV7" s="196">
        <v>12.8</v>
      </c>
      <c r="AW7" s="196">
        <v>12.6</v>
      </c>
      <c r="AX7" s="196">
        <v>12.9</v>
      </c>
      <c r="AY7" s="196">
        <v>13.85</v>
      </c>
      <c r="BA7" s="199">
        <f>AVERAGE(AV7:AY7)</f>
        <v>13.0375</v>
      </c>
      <c r="BB7" s="200">
        <v>12</v>
      </c>
      <c r="BC7" s="200">
        <f>IF(ISERR(BA7),0,IF(BA7&lt;BB7,BA7-BB7,0))</f>
        <v>0</v>
      </c>
      <c r="BD7" s="196">
        <v>12.5</v>
      </c>
      <c r="BE7" s="196">
        <v>13.15</v>
      </c>
      <c r="BF7" s="196">
        <v>11.8</v>
      </c>
      <c r="BG7" s="196">
        <v>10.9</v>
      </c>
      <c r="BI7" s="199">
        <f>AVERAGE(BD7:BG7)</f>
        <v>12.0875</v>
      </c>
      <c r="BJ7" s="196">
        <v>12.3</v>
      </c>
      <c r="BK7" s="196">
        <v>13.1</v>
      </c>
      <c r="BL7" s="196">
        <v>11.2</v>
      </c>
      <c r="BM7" s="196">
        <v>12.2</v>
      </c>
      <c r="BN7" s="196"/>
      <c r="BO7" s="199">
        <f>AVERAGE(BJ7:BM7)</f>
        <v>12.2</v>
      </c>
      <c r="BP7" s="200">
        <v>11</v>
      </c>
      <c r="BQ7" s="200">
        <f>IF(ISERR(BO7),0,IF(BO7&lt;BP7,BO7-BP7,0))</f>
        <v>0</v>
      </c>
    </row>
    <row r="8" spans="1:69">
      <c r="A8" s="218" t="s">
        <v>99</v>
      </c>
      <c r="B8" s="218" t="s">
        <v>641</v>
      </c>
      <c r="C8" s="219" t="s">
        <v>664</v>
      </c>
      <c r="D8" s="219">
        <v>4</v>
      </c>
      <c r="E8" s="229">
        <v>0.53819444444444442</v>
      </c>
      <c r="F8" s="220">
        <v>0.56383101851851858</v>
      </c>
      <c r="G8" s="220">
        <v>0.66342592592592597</v>
      </c>
      <c r="H8" s="208">
        <f>F8-E8</f>
        <v>2.5636574074074159E-2</v>
      </c>
      <c r="I8" s="208">
        <f>H8-MIN(H$3:H$27)</f>
        <v>4.8148148148149383E-3</v>
      </c>
      <c r="J8" s="208">
        <f>G8-E8</f>
        <v>0.12523148148148155</v>
      </c>
      <c r="K8" s="220">
        <v>0.13194444444444445</v>
      </c>
      <c r="L8" s="220">
        <v>0.32430555555555557</v>
      </c>
      <c r="M8" s="220">
        <v>0.34446759259259263</v>
      </c>
      <c r="N8" s="220"/>
      <c r="O8" s="208">
        <f>M8-L8</f>
        <v>2.0162037037037062E-2</v>
      </c>
      <c r="P8" s="208">
        <f>O8-MIN(O$3:O$27)</f>
        <v>4.2708333333333903E-3</v>
      </c>
      <c r="Q8" s="208">
        <f>N8-L8</f>
        <v>-0.32430555555555557</v>
      </c>
      <c r="R8" s="220">
        <v>0.15972222222222224</v>
      </c>
      <c r="S8" s="221">
        <v>0.8</v>
      </c>
      <c r="T8" s="221">
        <v>1</v>
      </c>
      <c r="U8" s="221">
        <v>5</v>
      </c>
      <c r="V8" s="221">
        <v>4</v>
      </c>
      <c r="W8" s="238">
        <f>ROUND(MAX(W$2-I8*60*24*0.5+BC8,0),1)</f>
        <v>16.5</v>
      </c>
      <c r="X8" s="238">
        <f>ROUND(MAX(X$2-P8*60*24*0.5+BQ8,0),1)</f>
        <v>16.899999999999999</v>
      </c>
      <c r="Y8" s="238">
        <f>ROUND(MAX(MIN(Y$2+(K8-J8)*60*24*0.2,$Y$2),0),1)</f>
        <v>5</v>
      </c>
      <c r="Z8" s="238">
        <f>ROUND(MAX(MIN($Z$2+(R8-Q8)*60*24*0.2,$Z$2),0),1)</f>
        <v>5</v>
      </c>
      <c r="AA8" s="221">
        <v>3</v>
      </c>
      <c r="AB8" s="221">
        <v>3.6</v>
      </c>
      <c r="AC8" s="221">
        <v>4</v>
      </c>
      <c r="AD8" s="221">
        <v>3.4</v>
      </c>
      <c r="AE8" s="221">
        <v>2</v>
      </c>
      <c r="AF8" s="238">
        <f>SUM(S8:T8)</f>
        <v>1.8</v>
      </c>
      <c r="AG8" s="238">
        <f>SUM(U8:V8)</f>
        <v>9</v>
      </c>
      <c r="AH8" s="221">
        <v>5</v>
      </c>
      <c r="AI8" s="221">
        <v>5</v>
      </c>
      <c r="AJ8" s="221">
        <v>5</v>
      </c>
      <c r="AK8" s="221">
        <v>5</v>
      </c>
      <c r="AL8" s="238">
        <f>SUM(W8:AK8)</f>
        <v>90.199999999999989</v>
      </c>
      <c r="AM8" s="243">
        <f>RANK(AL8,$AL$3:$AL$10)</f>
        <v>3</v>
      </c>
      <c r="AN8" s="218"/>
      <c r="AO8" s="243">
        <f>RANK(I8,$I$3:$I$10,1)</f>
        <v>3</v>
      </c>
      <c r="AP8" s="196">
        <v>14.05</v>
      </c>
      <c r="AQ8" s="196">
        <v>11.5</v>
      </c>
      <c r="AR8" s="196">
        <v>11.65</v>
      </c>
      <c r="AS8" s="196">
        <v>13.85</v>
      </c>
      <c r="AT8" s="196"/>
      <c r="AU8" s="197">
        <f>AVERAGE(AP8:AT8)</f>
        <v>12.762500000000001</v>
      </c>
      <c r="AV8" s="196">
        <v>14.05</v>
      </c>
      <c r="AW8" s="196">
        <v>11.5</v>
      </c>
      <c r="AX8" s="196">
        <v>11.75</v>
      </c>
      <c r="AY8" s="196">
        <v>13.8</v>
      </c>
      <c r="BA8" s="199">
        <f>AVERAGE(AV8:AY8)</f>
        <v>12.774999999999999</v>
      </c>
      <c r="BB8" s="200">
        <v>12</v>
      </c>
      <c r="BC8" s="200">
        <f>IF(ISERR(BA8),0,IF(BA8&lt;BB8,BA8-BB8,0))</f>
        <v>0</v>
      </c>
      <c r="BD8" s="196">
        <v>12.7</v>
      </c>
      <c r="BE8" s="196">
        <v>10.75</v>
      </c>
      <c r="BF8" s="196">
        <v>12</v>
      </c>
      <c r="BG8" s="196">
        <v>12.85</v>
      </c>
      <c r="BI8" s="199">
        <f>AVERAGE(BD8:BG8)</f>
        <v>12.075000000000001</v>
      </c>
      <c r="BJ8" s="196">
        <v>12.4</v>
      </c>
      <c r="BK8" s="196">
        <v>12.9</v>
      </c>
      <c r="BL8" s="196">
        <v>12</v>
      </c>
      <c r="BM8" s="196">
        <v>10.9</v>
      </c>
      <c r="BN8" s="196"/>
      <c r="BO8" s="199">
        <f>AVERAGE(BJ8:BM8)</f>
        <v>12.049999999999999</v>
      </c>
      <c r="BP8" s="200">
        <v>11</v>
      </c>
      <c r="BQ8" s="200">
        <f>IF(ISERR(BO8),0,IF(BO8&lt;BP8,BO8-BP8,0))</f>
        <v>0</v>
      </c>
    </row>
    <row r="9" spans="1:69">
      <c r="A9" s="218" t="s">
        <v>99</v>
      </c>
      <c r="B9" s="218" t="s">
        <v>607</v>
      </c>
      <c r="C9" s="219" t="s">
        <v>665</v>
      </c>
      <c r="D9" s="278">
        <v>4</v>
      </c>
      <c r="E9" s="279">
        <v>0.53888888888888886</v>
      </c>
      <c r="F9" s="280">
        <v>0.5659953703703704</v>
      </c>
      <c r="G9" s="280">
        <v>0.65416666666666667</v>
      </c>
      <c r="H9" s="281">
        <f>F9-E9</f>
        <v>2.7106481481481537E-2</v>
      </c>
      <c r="I9" s="281">
        <f>H9-MIN(H$3:H$27)</f>
        <v>6.2847222222223165E-3</v>
      </c>
      <c r="J9" s="281">
        <f>G9-E9</f>
        <v>0.11527777777777781</v>
      </c>
      <c r="K9" s="280">
        <v>0.13194444444444445</v>
      </c>
      <c r="L9" s="229">
        <v>0.32500000000000001</v>
      </c>
      <c r="M9" s="280">
        <v>0.34556712962962965</v>
      </c>
      <c r="N9" s="280"/>
      <c r="O9" s="281">
        <f>M9-L9</f>
        <v>2.0567129629629644E-2</v>
      </c>
      <c r="P9" s="281">
        <f>O9-MIN(O$3:O$27)</f>
        <v>4.6759259259259722E-3</v>
      </c>
      <c r="Q9" s="281">
        <f>N9-L9</f>
        <v>-0.32500000000000001</v>
      </c>
      <c r="R9" s="280">
        <v>0.15972222222222224</v>
      </c>
      <c r="S9" s="282">
        <v>0.6</v>
      </c>
      <c r="T9" s="282">
        <v>1</v>
      </c>
      <c r="U9" s="282">
        <v>3</v>
      </c>
      <c r="V9" s="282">
        <v>3</v>
      </c>
      <c r="W9" s="283">
        <f>ROUND(MAX(W$2-I9*60*24*0.5+BC9,0),1)</f>
        <v>15.5</v>
      </c>
      <c r="X9" s="283">
        <f>ROUND(MAX(X$2-P9*60*24*0.5+BQ9,0),1)</f>
        <v>16.600000000000001</v>
      </c>
      <c r="Y9" s="283">
        <f>ROUND(MAX(MIN(Y$2+(K9-J9)*60*24*0.2,$Y$2),0),1)</f>
        <v>5</v>
      </c>
      <c r="Z9" s="283">
        <f>ROUND(MAX(MIN($Z$2+(R9-Q9)*60*24*0.2,$Z$2),0),1)</f>
        <v>5</v>
      </c>
      <c r="AA9" s="282">
        <v>3.2</v>
      </c>
      <c r="AB9" s="282">
        <v>3.2</v>
      </c>
      <c r="AC9" s="282">
        <v>2.1</v>
      </c>
      <c r="AD9" s="282">
        <v>2.4</v>
      </c>
      <c r="AE9" s="282">
        <v>2</v>
      </c>
      <c r="AF9" s="283">
        <f>SUM(S9:T9)</f>
        <v>1.6</v>
      </c>
      <c r="AG9" s="283">
        <f>SUM(U9:V9)</f>
        <v>6</v>
      </c>
      <c r="AH9" s="282">
        <v>4.5</v>
      </c>
      <c r="AI9" s="282">
        <v>5</v>
      </c>
      <c r="AJ9" s="282">
        <v>5</v>
      </c>
      <c r="AK9" s="282">
        <v>5</v>
      </c>
      <c r="AL9" s="283">
        <f>SUM(W9:AK9)</f>
        <v>82.100000000000009</v>
      </c>
      <c r="AM9" s="284">
        <f>RANK(AL9,$AL$3:$AL$10)</f>
        <v>4</v>
      </c>
      <c r="AN9" s="222"/>
      <c r="AO9" s="243">
        <f>RANK(I9,$I$3:$I$10,1)</f>
        <v>4</v>
      </c>
      <c r="AP9" s="196">
        <v>12.85</v>
      </c>
      <c r="AQ9" s="196">
        <v>13.05</v>
      </c>
      <c r="AR9" s="196">
        <v>14.35</v>
      </c>
      <c r="AS9" s="196">
        <v>14.35</v>
      </c>
      <c r="AT9" s="196"/>
      <c r="AU9" s="197">
        <f>AVERAGE(AP9:AT9)</f>
        <v>13.65</v>
      </c>
      <c r="AV9" s="196">
        <v>13.05</v>
      </c>
      <c r="AW9" s="196">
        <v>14.3</v>
      </c>
      <c r="AX9" s="196">
        <v>14.25</v>
      </c>
      <c r="AY9" s="196">
        <v>12.9</v>
      </c>
      <c r="BA9" s="199">
        <f>AVERAGE(AV9:AY9)</f>
        <v>13.625</v>
      </c>
      <c r="BB9" s="200">
        <v>12</v>
      </c>
      <c r="BC9" s="200">
        <f>IF(ISERR(BA9),0,IF(BA9&lt;BB9,BA9-BB9,0))</f>
        <v>0</v>
      </c>
      <c r="BD9" s="196">
        <v>13.25</v>
      </c>
      <c r="BE9" s="196">
        <v>11.85</v>
      </c>
      <c r="BF9" s="196">
        <v>9.65</v>
      </c>
      <c r="BG9" s="196">
        <v>12.1</v>
      </c>
      <c r="BI9" s="199">
        <f>AVERAGE(BD9:BG9)</f>
        <v>11.7125</v>
      </c>
      <c r="BJ9" s="196">
        <v>10</v>
      </c>
      <c r="BK9" s="196">
        <v>12.1</v>
      </c>
      <c r="BL9" s="196">
        <v>12</v>
      </c>
      <c r="BM9" s="196">
        <v>13</v>
      </c>
      <c r="BN9" s="196"/>
      <c r="BO9" s="199">
        <f>AVERAGE(BJ9:BM9)</f>
        <v>11.775</v>
      </c>
      <c r="BP9" s="200">
        <v>11</v>
      </c>
      <c r="BQ9" s="200">
        <f>IF(ISERR(BO9),0,IF(BO9&lt;BP9,BO9-BP9,0))</f>
        <v>0</v>
      </c>
    </row>
    <row r="10" spans="1:69" ht="14.25" thickBot="1">
      <c r="A10" s="223" t="s">
        <v>99</v>
      </c>
      <c r="B10" s="223" t="s">
        <v>701</v>
      </c>
      <c r="C10" s="224" t="s">
        <v>704</v>
      </c>
      <c r="D10" s="224">
        <v>4</v>
      </c>
      <c r="E10" s="225">
        <v>0.5395833333333333</v>
      </c>
      <c r="F10" s="225">
        <v>0.57396990740740739</v>
      </c>
      <c r="G10" s="225">
        <v>0.6620138888888889</v>
      </c>
      <c r="H10" s="209">
        <f>F10-E10</f>
        <v>3.4386574074074083E-2</v>
      </c>
      <c r="I10" s="209">
        <f>H10-MIN(H$3:H$27)</f>
        <v>1.3564814814814863E-2</v>
      </c>
      <c r="J10" s="209">
        <f>G10-E10</f>
        <v>0.1224305555555556</v>
      </c>
      <c r="K10" s="225">
        <v>0.13194444444444445</v>
      </c>
      <c r="L10" s="220">
        <v>0.32708333333333334</v>
      </c>
      <c r="M10" s="225">
        <v>0.34991898148148143</v>
      </c>
      <c r="N10" s="225"/>
      <c r="O10" s="209">
        <f>M10-L10</f>
        <v>2.2835648148148091E-2</v>
      </c>
      <c r="P10" s="209">
        <f>O10-MIN(O$3:O$27)</f>
        <v>6.9444444444444198E-3</v>
      </c>
      <c r="Q10" s="209">
        <f>N10-L10</f>
        <v>-0.32708333333333334</v>
      </c>
      <c r="R10" s="225">
        <v>0.15972222222222224</v>
      </c>
      <c r="S10" s="226">
        <v>0.2</v>
      </c>
      <c r="T10" s="226">
        <v>0.2</v>
      </c>
      <c r="U10" s="226">
        <v>0</v>
      </c>
      <c r="V10" s="226">
        <v>1</v>
      </c>
      <c r="W10" s="239">
        <f>ROUND(MAX(W$2-I10*60*24*0.5+BC10,0),1)</f>
        <v>10.199999999999999</v>
      </c>
      <c r="X10" s="239">
        <f>ROUND(MAX(X$2-P10*60*24*0.5+BQ10,0),1)</f>
        <v>15</v>
      </c>
      <c r="Y10" s="239">
        <f>ROUND(MAX(MIN(Y$2+(K10-J10)*60*24*0.2,$Y$2),0),1)</f>
        <v>5</v>
      </c>
      <c r="Z10" s="239">
        <f>ROUND(MAX(MIN($Z$2+(R10-Q10)*60*24*0.2,$Z$2),0),1)</f>
        <v>5</v>
      </c>
      <c r="AA10" s="226">
        <v>0.6</v>
      </c>
      <c r="AB10" s="226">
        <v>0</v>
      </c>
      <c r="AC10" s="226">
        <v>1.2</v>
      </c>
      <c r="AD10" s="226">
        <v>1.1000000000000001</v>
      </c>
      <c r="AE10" s="226">
        <v>1</v>
      </c>
      <c r="AF10" s="239">
        <f>SUM(S10:T10)</f>
        <v>0.4</v>
      </c>
      <c r="AG10" s="239">
        <f>SUM(U10:V10)</f>
        <v>1</v>
      </c>
      <c r="AH10" s="226">
        <v>2.5</v>
      </c>
      <c r="AI10" s="226">
        <v>4.3</v>
      </c>
      <c r="AJ10" s="226">
        <v>3.5</v>
      </c>
      <c r="AK10" s="226">
        <v>5</v>
      </c>
      <c r="AL10" s="239">
        <f>SUM(W10:AK10)</f>
        <v>55.800000000000004</v>
      </c>
      <c r="AM10" s="244">
        <f>RANK(AL10,$AL$3:$AL$10)</f>
        <v>8</v>
      </c>
      <c r="AN10" s="223"/>
      <c r="AO10" s="243">
        <f>RANK(I10,$I$3:$I$10,1)</f>
        <v>7</v>
      </c>
      <c r="AP10" s="196">
        <v>12</v>
      </c>
      <c r="AQ10" s="196">
        <v>12.7</v>
      </c>
      <c r="AR10" s="196">
        <v>11.85</v>
      </c>
      <c r="AS10" s="196">
        <v>12.05</v>
      </c>
      <c r="AT10" s="196"/>
      <c r="AU10" s="197">
        <f>AVERAGE(AP10:AT10)</f>
        <v>12.149999999999999</v>
      </c>
      <c r="AV10" s="196">
        <v>12.65</v>
      </c>
      <c r="AW10" s="196">
        <v>11.65</v>
      </c>
      <c r="AX10" s="196">
        <v>11.8</v>
      </c>
      <c r="AY10" s="196">
        <v>11.95</v>
      </c>
      <c r="BA10" s="199">
        <f>AVERAGE(AV10:AY10)</f>
        <v>12.012499999999999</v>
      </c>
      <c r="BB10" s="200">
        <v>12</v>
      </c>
      <c r="BC10" s="200">
        <f>IF(ISERR(BA10),0,IF(BA10&lt;BB10,BA10-BB10,0))</f>
        <v>0</v>
      </c>
      <c r="BD10" s="196">
        <v>12.9</v>
      </c>
      <c r="BE10" s="196">
        <v>11.35</v>
      </c>
      <c r="BF10" s="196">
        <v>13.35</v>
      </c>
      <c r="BG10" s="196">
        <v>11.4</v>
      </c>
      <c r="BI10" s="199">
        <f>AVERAGE(BD10:BG10)</f>
        <v>12.25</v>
      </c>
      <c r="BJ10" s="196">
        <v>14</v>
      </c>
      <c r="BK10" s="196">
        <v>13.1</v>
      </c>
      <c r="BL10" s="196">
        <v>11.1</v>
      </c>
      <c r="BM10" s="196">
        <v>11</v>
      </c>
      <c r="BN10" s="196"/>
      <c r="BO10" s="199">
        <f>AVERAGE(BJ10:BM10)</f>
        <v>12.3</v>
      </c>
      <c r="BP10" s="200">
        <v>11</v>
      </c>
      <c r="BQ10" s="200">
        <f>IF(ISERR(BO10),0,IF(BO10&lt;BP10,BO10-BP10,0))</f>
        <v>0</v>
      </c>
    </row>
    <row r="11" spans="1:69">
      <c r="A11" s="227" t="s">
        <v>100</v>
      </c>
      <c r="B11" s="227" t="s">
        <v>707</v>
      </c>
      <c r="C11" s="228" t="s">
        <v>666</v>
      </c>
      <c r="D11" s="228">
        <v>5</v>
      </c>
      <c r="E11" s="229">
        <v>0.54027777777777775</v>
      </c>
      <c r="F11" s="229">
        <v>0.57229166666666664</v>
      </c>
      <c r="G11" s="229">
        <v>0.66374999999999995</v>
      </c>
      <c r="H11" s="210">
        <f>F11-E11</f>
        <v>3.2013888888888897E-2</v>
      </c>
      <c r="I11" s="210">
        <f>H11-MIN(H$3:H$27)</f>
        <v>1.1192129629629677E-2</v>
      </c>
      <c r="J11" s="210">
        <f>G11-E11</f>
        <v>0.12347222222222221</v>
      </c>
      <c r="K11" s="229">
        <v>0.13194444444444445</v>
      </c>
      <c r="L11" s="229">
        <v>0.3354166666666667</v>
      </c>
      <c r="M11" s="229">
        <v>0.36074074074074075</v>
      </c>
      <c r="N11" s="229"/>
      <c r="O11" s="210">
        <f>M11-L11</f>
        <v>2.5324074074074054E-2</v>
      </c>
      <c r="P11" s="210">
        <f>O11-MIN(O$3:O$27)</f>
        <v>9.4328703703703831E-3</v>
      </c>
      <c r="Q11" s="210">
        <f>N11-L11</f>
        <v>-0.3354166666666667</v>
      </c>
      <c r="R11" s="229">
        <v>0.15972222222222224</v>
      </c>
      <c r="S11" s="230">
        <v>0.6</v>
      </c>
      <c r="T11" s="230">
        <v>0.6</v>
      </c>
      <c r="U11" s="230">
        <v>2</v>
      </c>
      <c r="V11" s="230">
        <v>4</v>
      </c>
      <c r="W11" s="240">
        <f>ROUND(MAX(W$2-I11*60*24*0.5+BC11,0),1)</f>
        <v>11.9</v>
      </c>
      <c r="X11" s="240">
        <f>ROUND(MAX(X$2-P11*60*24*0.5+BQ11,0),1)</f>
        <v>13.2</v>
      </c>
      <c r="Y11" s="240">
        <f>ROUND(MAX(MIN(Y$2+(K11-J11)*60*24*0.2,$Y$2),0),1)</f>
        <v>5</v>
      </c>
      <c r="Z11" s="240">
        <f>ROUND(MAX(MIN($Z$2+(R11-Q11)*60*24*0.2,$Z$2),0),1)</f>
        <v>5</v>
      </c>
      <c r="AA11" s="230">
        <v>1.8</v>
      </c>
      <c r="AB11" s="230">
        <v>2.7</v>
      </c>
      <c r="AC11" s="230">
        <v>1.9</v>
      </c>
      <c r="AD11" s="230">
        <v>1.7</v>
      </c>
      <c r="AE11" s="230">
        <v>0.8</v>
      </c>
      <c r="AF11" s="240">
        <f>SUM(S11:T11)</f>
        <v>1.2</v>
      </c>
      <c r="AG11" s="240">
        <f>SUM(U11:V11)</f>
        <v>6</v>
      </c>
      <c r="AH11" s="230">
        <v>1</v>
      </c>
      <c r="AI11" s="230">
        <v>5</v>
      </c>
      <c r="AJ11" s="230">
        <v>3.5</v>
      </c>
      <c r="AK11" s="230">
        <v>5</v>
      </c>
      <c r="AL11" s="240">
        <f>SUM(W11:AK11)</f>
        <v>65.7</v>
      </c>
      <c r="AM11" s="245">
        <f>RANK(AL11,$AL$11:$AL$27)</f>
        <v>13</v>
      </c>
      <c r="AN11" s="227"/>
      <c r="AO11" s="245">
        <f>RANK(I11,$I$11:$I$27,1)</f>
        <v>11</v>
      </c>
      <c r="AP11" s="196">
        <v>9.4499999999999993</v>
      </c>
      <c r="AQ11" s="196">
        <v>11.25</v>
      </c>
      <c r="AR11" s="196">
        <v>12.45</v>
      </c>
      <c r="AS11" s="196">
        <v>11.9</v>
      </c>
      <c r="AT11" s="196">
        <v>18.45</v>
      </c>
      <c r="AU11" s="197">
        <f>AVERAGE(AP11:AT11)</f>
        <v>12.7</v>
      </c>
      <c r="AV11" s="196">
        <v>12.7</v>
      </c>
      <c r="AW11" s="196">
        <v>10.75</v>
      </c>
      <c r="AX11" s="196">
        <v>11.85</v>
      </c>
      <c r="AY11" s="196">
        <v>9.6</v>
      </c>
      <c r="AZ11" s="286">
        <v>18.3</v>
      </c>
      <c r="BA11" s="199">
        <f>AVERAGE(AV11:AZ11)</f>
        <v>12.64</v>
      </c>
      <c r="BB11" s="200">
        <v>12</v>
      </c>
      <c r="BC11" s="200">
        <f>IF(ISERR(BA11),0,IF(BA11&lt;BB11,BA11-BB11,0))</f>
        <v>0</v>
      </c>
      <c r="BD11" s="196">
        <v>9.5500000000000007</v>
      </c>
      <c r="BE11" s="196">
        <v>9.6</v>
      </c>
      <c r="BF11" s="196">
        <v>12.65</v>
      </c>
      <c r="BG11" s="196">
        <v>12.25</v>
      </c>
      <c r="BH11" s="196">
        <v>17.45</v>
      </c>
      <c r="BI11" s="199">
        <f>AVERAGE(BD11:BH11)</f>
        <v>12.3</v>
      </c>
      <c r="BJ11" s="196">
        <v>9.3000000000000007</v>
      </c>
      <c r="BK11" s="196">
        <v>17</v>
      </c>
      <c r="BL11" s="196">
        <v>11.8</v>
      </c>
      <c r="BM11" s="196">
        <v>12.4</v>
      </c>
      <c r="BN11" s="196">
        <v>9.1999999999999993</v>
      </c>
      <c r="BO11" s="199">
        <f>AVERAGE(BJ11:BN11)</f>
        <v>11.940000000000001</v>
      </c>
      <c r="BP11" s="200">
        <v>11</v>
      </c>
      <c r="BQ11" s="200">
        <f>IF(ISERR(BO11),0,IF(BO11&lt;BP11,BO11-BP11,0))</f>
        <v>0</v>
      </c>
    </row>
    <row r="12" spans="1:69">
      <c r="A12" s="218" t="s">
        <v>100</v>
      </c>
      <c r="B12" s="218" t="s">
        <v>730</v>
      </c>
      <c r="C12" s="228" t="s">
        <v>667</v>
      </c>
      <c r="D12" s="219">
        <v>4</v>
      </c>
      <c r="E12" s="220">
        <v>0.54097222222222219</v>
      </c>
      <c r="F12" s="220">
        <v>0.56550925925925932</v>
      </c>
      <c r="G12" s="220">
        <v>0.66043981481481484</v>
      </c>
      <c r="H12" s="208">
        <f>F12-E12</f>
        <v>2.4537037037037135E-2</v>
      </c>
      <c r="I12" s="208">
        <f>H12-MIN(H$3:H$27)</f>
        <v>3.7152777777779145E-3</v>
      </c>
      <c r="J12" s="208">
        <f>G12-E12</f>
        <v>0.11946759259259265</v>
      </c>
      <c r="K12" s="220">
        <v>0.13194444444444445</v>
      </c>
      <c r="L12" s="220">
        <v>0.32847222222222222</v>
      </c>
      <c r="M12" s="220">
        <v>0.34783564814814816</v>
      </c>
      <c r="N12" s="220"/>
      <c r="O12" s="208">
        <f>M12-L12</f>
        <v>1.9363425925925937E-2</v>
      </c>
      <c r="P12" s="208">
        <f>O12-MIN(O$3:O$27)</f>
        <v>3.4722222222222654E-3</v>
      </c>
      <c r="Q12" s="208">
        <f>N12-L12</f>
        <v>-0.32847222222222222</v>
      </c>
      <c r="R12" s="220">
        <v>0.15972222222222224</v>
      </c>
      <c r="S12" s="221">
        <v>1</v>
      </c>
      <c r="T12" s="221">
        <v>1</v>
      </c>
      <c r="U12" s="221">
        <v>6</v>
      </c>
      <c r="V12" s="221">
        <v>4</v>
      </c>
      <c r="W12" s="238">
        <f>ROUND(MAX(W$2-I12*60*24*0.5+BC12,0),1)</f>
        <v>17.3</v>
      </c>
      <c r="X12" s="238">
        <f>ROUND(MAX(X$2-P12*60*24*0.5+BQ12,0),1)</f>
        <v>17.5</v>
      </c>
      <c r="Y12" s="238">
        <f>ROUND(MAX(MIN(Y$2+(K12-J12)*60*24*0.2,$Y$2),0),1)</f>
        <v>5</v>
      </c>
      <c r="Z12" s="238">
        <f>ROUND(MAX(MIN($Z$2+(R12-Q12)*60*24*0.2,$Z$2),0),1)</f>
        <v>5</v>
      </c>
      <c r="AA12" s="221">
        <v>2.9</v>
      </c>
      <c r="AB12" s="221">
        <v>3.1</v>
      </c>
      <c r="AC12" s="221">
        <v>3.6</v>
      </c>
      <c r="AD12" s="221">
        <v>2.9</v>
      </c>
      <c r="AE12" s="221">
        <v>2</v>
      </c>
      <c r="AF12" s="238">
        <f>SUM(S12:T12)</f>
        <v>2</v>
      </c>
      <c r="AG12" s="238">
        <f>SUM(U12:V12)</f>
        <v>10</v>
      </c>
      <c r="AH12" s="221">
        <v>3.5</v>
      </c>
      <c r="AI12" s="221">
        <v>5</v>
      </c>
      <c r="AJ12" s="221">
        <v>5</v>
      </c>
      <c r="AK12" s="221">
        <v>5</v>
      </c>
      <c r="AL12" s="238">
        <f>SUM(W12:AK12)</f>
        <v>89.8</v>
      </c>
      <c r="AM12" s="243">
        <f>RANK(AL12,$AL$11:$AL$27)</f>
        <v>1</v>
      </c>
      <c r="AN12" s="218"/>
      <c r="AO12" s="243">
        <f>RANK(I12,$I$11:$I$27,1)</f>
        <v>1</v>
      </c>
      <c r="AP12" s="196">
        <v>12.15</v>
      </c>
      <c r="AQ12" s="196">
        <v>12.4</v>
      </c>
      <c r="AR12" s="196">
        <v>12.55</v>
      </c>
      <c r="AS12" s="196">
        <v>11.4</v>
      </c>
      <c r="AT12" s="196"/>
      <c r="AU12" s="197">
        <f>AVERAGE(AP12:AT12)</f>
        <v>12.125</v>
      </c>
      <c r="AV12" s="196">
        <v>12.65</v>
      </c>
      <c r="AW12" s="196">
        <v>12.4</v>
      </c>
      <c r="AX12" s="196">
        <v>11.45</v>
      </c>
      <c r="AY12" s="196">
        <v>12.2</v>
      </c>
      <c r="BA12" s="199">
        <f>AVERAGE(AV12:AY12)</f>
        <v>12.175000000000001</v>
      </c>
      <c r="BB12" s="200">
        <v>12</v>
      </c>
      <c r="BC12" s="200">
        <f>IF(ISERR(BA12),0,IF(BA12&lt;BB12,BA12-BB12,0))</f>
        <v>0</v>
      </c>
      <c r="BD12" s="196">
        <v>9.5</v>
      </c>
      <c r="BE12" s="196">
        <v>11.3</v>
      </c>
      <c r="BF12" s="196">
        <v>11.75</v>
      </c>
      <c r="BG12" s="196">
        <v>11.75</v>
      </c>
      <c r="BI12" s="199">
        <f>AVERAGE(BD12:BG12)</f>
        <v>11.074999999999999</v>
      </c>
      <c r="BJ12" s="196">
        <v>11.1</v>
      </c>
      <c r="BK12" s="196">
        <v>12</v>
      </c>
      <c r="BL12" s="196">
        <v>11.9</v>
      </c>
      <c r="BM12" s="196">
        <v>9.1999999999999993</v>
      </c>
      <c r="BN12" s="196"/>
      <c r="BO12" s="199">
        <f>AVERAGE(BJ12:BM12)</f>
        <v>11.05</v>
      </c>
      <c r="BP12" s="200">
        <v>11</v>
      </c>
      <c r="BQ12" s="200">
        <f>IF(ISERR(BO12),0,IF(BO12&lt;BP12,BO12-BP12,0))</f>
        <v>0</v>
      </c>
    </row>
    <row r="13" spans="1:69">
      <c r="A13" s="218" t="s">
        <v>100</v>
      </c>
      <c r="B13" s="218" t="s">
        <v>709</v>
      </c>
      <c r="C13" s="228" t="s">
        <v>668</v>
      </c>
      <c r="D13" s="219">
        <v>3</v>
      </c>
      <c r="E13" s="229">
        <v>0.54166666666666696</v>
      </c>
      <c r="F13" s="220">
        <v>0.57060185185185186</v>
      </c>
      <c r="G13" s="220">
        <v>0.66342592592592597</v>
      </c>
      <c r="H13" s="208">
        <f>F13-E13</f>
        <v>2.8935185185184897E-2</v>
      </c>
      <c r="I13" s="208">
        <f>H13-MIN(H$3:H$27)</f>
        <v>8.1134259259256769E-3</v>
      </c>
      <c r="J13" s="208">
        <f>G13-E13</f>
        <v>0.12175925925925901</v>
      </c>
      <c r="K13" s="220">
        <v>0.13194444444444445</v>
      </c>
      <c r="L13" s="229">
        <v>0.33333333333333331</v>
      </c>
      <c r="M13" s="220">
        <v>0.35613425925925929</v>
      </c>
      <c r="N13" s="220"/>
      <c r="O13" s="208">
        <f>M13-L13</f>
        <v>2.2800925925925974E-2</v>
      </c>
      <c r="P13" s="208">
        <f>O13-MIN(O$3:O$27)</f>
        <v>6.9097222222223031E-3</v>
      </c>
      <c r="Q13" s="208">
        <f>N13-L13</f>
        <v>-0.33333333333333331</v>
      </c>
      <c r="R13" s="220">
        <v>0.15972222222222224</v>
      </c>
      <c r="S13" s="221">
        <v>0.6</v>
      </c>
      <c r="T13" s="221">
        <v>0.8</v>
      </c>
      <c r="U13" s="221">
        <v>5</v>
      </c>
      <c r="V13" s="221">
        <v>3</v>
      </c>
      <c r="W13" s="238">
        <f>ROUND(MAX(W$2-I13*60*24*0.5+BC13,0),1)</f>
        <v>14.2</v>
      </c>
      <c r="X13" s="238">
        <f>ROUND(MAX(X$2-P13*60*24*0.5+BQ13,0),1)</f>
        <v>15</v>
      </c>
      <c r="Y13" s="238">
        <f>ROUND(MAX(MIN(Y$2+(K13-J13)*60*24*0.2,$Y$2),0),1)</f>
        <v>5</v>
      </c>
      <c r="Z13" s="238">
        <f>ROUND(MAX(MIN($Z$2+(R13-Q13)*60*24*0.2,$Z$2),0),1)</f>
        <v>5</v>
      </c>
      <c r="AA13" s="221">
        <v>2.6</v>
      </c>
      <c r="AB13" s="221">
        <v>3</v>
      </c>
      <c r="AC13" s="221">
        <v>3.2</v>
      </c>
      <c r="AD13" s="221">
        <v>2.2999999999999998</v>
      </c>
      <c r="AE13" s="221">
        <v>1.8</v>
      </c>
      <c r="AF13" s="238">
        <f>SUM(S13:T13)</f>
        <v>1.4</v>
      </c>
      <c r="AG13" s="238">
        <f>SUM(U13:V13)</f>
        <v>8</v>
      </c>
      <c r="AH13" s="221">
        <v>4</v>
      </c>
      <c r="AI13" s="221">
        <v>5</v>
      </c>
      <c r="AJ13" s="221">
        <v>4.5</v>
      </c>
      <c r="AK13" s="221">
        <v>5</v>
      </c>
      <c r="AL13" s="238">
        <f>SUM(W13:AK13)</f>
        <v>80</v>
      </c>
      <c r="AM13" s="243">
        <f>RANK(AL13,$AL$11:$AL$27)</f>
        <v>7</v>
      </c>
      <c r="AN13" s="218"/>
      <c r="AO13" s="243">
        <f>RANK(I13,$I$11:$I$27,1)</f>
        <v>8</v>
      </c>
      <c r="AP13" s="196">
        <v>13.6</v>
      </c>
      <c r="AQ13" s="196">
        <v>15.65</v>
      </c>
      <c r="AR13" s="196">
        <v>15.65</v>
      </c>
      <c r="AS13" s="196"/>
      <c r="AT13" s="196"/>
      <c r="AU13" s="197">
        <f>AVERAGE(AP13:AT13)</f>
        <v>14.966666666666667</v>
      </c>
      <c r="AV13" s="196">
        <v>13.4</v>
      </c>
      <c r="AW13" s="196">
        <v>15.2</v>
      </c>
      <c r="AX13" s="196">
        <v>15.75</v>
      </c>
      <c r="AY13" s="196"/>
      <c r="BA13" s="199">
        <f>AVERAGE(AV13:AY13)</f>
        <v>14.783333333333333</v>
      </c>
      <c r="BB13" s="200">
        <v>12</v>
      </c>
      <c r="BC13" s="200">
        <f>IF(ISERR(BA13),0,IF(BA13&lt;BB13,BA13-BB13,0))</f>
        <v>0</v>
      </c>
      <c r="BD13" s="196">
        <v>14.55</v>
      </c>
      <c r="BE13" s="196">
        <v>16.05</v>
      </c>
      <c r="BF13" s="196">
        <v>12.7</v>
      </c>
      <c r="BG13" s="196"/>
      <c r="BI13" s="199">
        <f>AVERAGE(BD13:BG13)</f>
        <v>14.433333333333332</v>
      </c>
      <c r="BJ13" s="196">
        <v>14.2</v>
      </c>
      <c r="BK13" s="196">
        <v>15.2</v>
      </c>
      <c r="BL13" s="196">
        <v>12.2</v>
      </c>
      <c r="BM13" s="196"/>
      <c r="BN13" s="196"/>
      <c r="BO13" s="199">
        <f>AVERAGE(BJ13:BM13)</f>
        <v>13.866666666666665</v>
      </c>
      <c r="BP13" s="200">
        <v>11</v>
      </c>
      <c r="BQ13" s="200">
        <f>IF(ISERR(BO13),0,IF(BO13&lt;BP13,BO13-BP13,0))</f>
        <v>0</v>
      </c>
    </row>
    <row r="14" spans="1:69">
      <c r="A14" s="218" t="s">
        <v>100</v>
      </c>
      <c r="B14" s="218" t="s">
        <v>711</v>
      </c>
      <c r="C14" s="219" t="s">
        <v>669</v>
      </c>
      <c r="D14" s="219">
        <v>4</v>
      </c>
      <c r="E14" s="220">
        <v>0.54236111111111096</v>
      </c>
      <c r="F14" s="220">
        <v>0.57225694444444442</v>
      </c>
      <c r="G14" s="220">
        <v>0.66114583333333332</v>
      </c>
      <c r="H14" s="208">
        <f>F14-E14</f>
        <v>2.9895833333333455E-2</v>
      </c>
      <c r="I14" s="208">
        <f>H14-MIN(H$3:H$27)</f>
        <v>9.0740740740742343E-3</v>
      </c>
      <c r="J14" s="208">
        <f>G14-E14</f>
        <v>0.11878472222222236</v>
      </c>
      <c r="K14" s="220">
        <v>0.13194444444444445</v>
      </c>
      <c r="L14" s="220">
        <v>0.33402777777777781</v>
      </c>
      <c r="M14" s="220">
        <v>0.35390046296296296</v>
      </c>
      <c r="N14" s="220"/>
      <c r="O14" s="208">
        <f>M14-L14</f>
        <v>1.9872685185185146E-2</v>
      </c>
      <c r="P14" s="208">
        <f>O14-MIN(O$3:O$27)</f>
        <v>3.9814814814814747E-3</v>
      </c>
      <c r="Q14" s="208">
        <f>N14-L14</f>
        <v>-0.33402777777777781</v>
      </c>
      <c r="R14" s="220">
        <v>0.15972222222222224</v>
      </c>
      <c r="S14" s="221">
        <v>0.8</v>
      </c>
      <c r="T14" s="221">
        <v>1</v>
      </c>
      <c r="U14" s="221">
        <v>5</v>
      </c>
      <c r="V14" s="221">
        <v>4</v>
      </c>
      <c r="W14" s="238">
        <f>ROUND(MAX(W$2-I14*60*24*0.5+BC14,0),1)</f>
        <v>13.5</v>
      </c>
      <c r="X14" s="238">
        <f>ROUND(MAX(X$2-P14*60*24*0.5+BQ14,0),1)</f>
        <v>17.100000000000001</v>
      </c>
      <c r="Y14" s="238">
        <f>ROUND(MAX(MIN(Y$2+(K14-J14)*60*24*0.2,$Y$2),0),1)</f>
        <v>5</v>
      </c>
      <c r="Z14" s="238">
        <f>ROUND(MAX(MIN($Z$2+(R14-Q14)*60*24*0.2,$Z$2),0),1)</f>
        <v>5</v>
      </c>
      <c r="AA14" s="221">
        <v>3.4</v>
      </c>
      <c r="AB14" s="221">
        <v>3.6</v>
      </c>
      <c r="AC14" s="221">
        <v>3.5</v>
      </c>
      <c r="AD14" s="221">
        <v>3.6</v>
      </c>
      <c r="AE14" s="221">
        <v>2</v>
      </c>
      <c r="AF14" s="238">
        <f>SUM(S14:T14)</f>
        <v>1.8</v>
      </c>
      <c r="AG14" s="238">
        <f>SUM(U14:V14)</f>
        <v>9</v>
      </c>
      <c r="AH14" s="221">
        <v>5</v>
      </c>
      <c r="AI14" s="221">
        <v>5</v>
      </c>
      <c r="AJ14" s="221">
        <v>5</v>
      </c>
      <c r="AK14" s="221">
        <v>5</v>
      </c>
      <c r="AL14" s="238">
        <f>SUM(W14:AK14)</f>
        <v>87.5</v>
      </c>
      <c r="AM14" s="243">
        <f>RANK(AL14,$AL$11:$AL$27)</f>
        <v>3</v>
      </c>
      <c r="AN14" s="218"/>
      <c r="AO14" s="243">
        <f>RANK(I14,$I$11:$I$27,1)</f>
        <v>9</v>
      </c>
      <c r="AP14" s="196">
        <v>13.2</v>
      </c>
      <c r="AQ14" s="196">
        <v>14.2</v>
      </c>
      <c r="AR14" s="196">
        <v>13</v>
      </c>
      <c r="AS14" s="196">
        <v>13.3</v>
      </c>
      <c r="AT14" s="196"/>
      <c r="AU14" s="197">
        <f>AVERAGE(AP14:AT14)</f>
        <v>13.425000000000001</v>
      </c>
      <c r="AV14" s="196">
        <v>14.05</v>
      </c>
      <c r="AW14" s="196">
        <v>13.55</v>
      </c>
      <c r="AX14" s="196">
        <v>14.25</v>
      </c>
      <c r="AY14" s="196">
        <v>11.85</v>
      </c>
      <c r="BA14" s="199">
        <f>AVERAGE(AV14:AY14)</f>
        <v>13.425000000000001</v>
      </c>
      <c r="BB14" s="200">
        <v>12</v>
      </c>
      <c r="BC14" s="200">
        <f>IF(ISERR(BA14),0,IF(BA14&lt;BB14,BA14-BB14,0))</f>
        <v>0</v>
      </c>
      <c r="BD14" s="196">
        <v>13.25</v>
      </c>
      <c r="BE14" s="196">
        <v>13.75</v>
      </c>
      <c r="BF14" s="196">
        <v>11.95</v>
      </c>
      <c r="BG14" s="196">
        <v>11</v>
      </c>
      <c r="BI14" s="199">
        <f>AVERAGE(BD14:BG14)</f>
        <v>12.487500000000001</v>
      </c>
      <c r="BJ14" s="196">
        <v>13.1</v>
      </c>
      <c r="BK14" s="196">
        <v>13</v>
      </c>
      <c r="BL14" s="196">
        <v>12</v>
      </c>
      <c r="BM14" s="196">
        <v>11</v>
      </c>
      <c r="BN14" s="196"/>
      <c r="BO14" s="199">
        <f>AVERAGE(BJ14:BM14)</f>
        <v>12.275</v>
      </c>
      <c r="BP14" s="200">
        <v>11</v>
      </c>
      <c r="BQ14" s="200">
        <f>IF(ISERR(BO14),0,IF(BO14&lt;BP14,BO14-BP14,0))</f>
        <v>0</v>
      </c>
    </row>
    <row r="15" spans="1:69">
      <c r="A15" s="218" t="s">
        <v>738</v>
      </c>
      <c r="B15" s="218" t="s">
        <v>140</v>
      </c>
      <c r="C15" s="219" t="s">
        <v>670</v>
      </c>
      <c r="D15" s="219">
        <v>3</v>
      </c>
      <c r="E15" s="220">
        <v>0.54305555555555551</v>
      </c>
      <c r="F15" s="220">
        <v>0.57598379629629626</v>
      </c>
      <c r="G15" s="220">
        <v>0.67173611111111109</v>
      </c>
      <c r="H15" s="208">
        <f>F15-E15</f>
        <v>3.2928240740740744E-2</v>
      </c>
      <c r="I15" s="208">
        <f>H15-MIN(H$3:H$27)</f>
        <v>1.2106481481481524E-2</v>
      </c>
      <c r="J15" s="208">
        <f>G15-E15</f>
        <v>0.12868055555555558</v>
      </c>
      <c r="K15" s="220">
        <v>0.13194444444444445</v>
      </c>
      <c r="L15" s="229">
        <v>0.33749999999999997</v>
      </c>
      <c r="M15" s="220">
        <v>0.3613425925925926</v>
      </c>
      <c r="N15" s="220"/>
      <c r="O15" s="208">
        <f>M15-L15</f>
        <v>2.3842592592592637E-2</v>
      </c>
      <c r="P15" s="208">
        <f>O15-MIN(O$3:O$27)</f>
        <v>7.9513888888889661E-3</v>
      </c>
      <c r="Q15" s="208">
        <f>N15-L15</f>
        <v>-0.33749999999999997</v>
      </c>
      <c r="R15" s="220">
        <v>0.15972222222222224</v>
      </c>
      <c r="S15" s="221">
        <v>0.6</v>
      </c>
      <c r="T15" s="221">
        <v>0.6</v>
      </c>
      <c r="U15" s="221">
        <v>2</v>
      </c>
      <c r="V15" s="221">
        <v>4</v>
      </c>
      <c r="W15" s="238">
        <f>ROUND(MAX(W$2-I15*60*24*0.5+BC15,0),1)</f>
        <v>11.3</v>
      </c>
      <c r="X15" s="238">
        <f>ROUND(MAX(X$2-P15*60*24*0.5+BQ15,0),1)</f>
        <v>14.3</v>
      </c>
      <c r="Y15" s="238">
        <f>ROUND(MAX(MIN(Y$2+(K15-J15)*60*24*0.2,$Y$2),0),1)</f>
        <v>5</v>
      </c>
      <c r="Z15" s="238">
        <f>ROUND(MAX(MIN($Z$2+(R15-Q15)*60*24*0.2,$Z$2),0),1)</f>
        <v>5</v>
      </c>
      <c r="AA15" s="221">
        <v>0.9</v>
      </c>
      <c r="AB15" s="221">
        <v>2</v>
      </c>
      <c r="AC15" s="221">
        <v>1.7</v>
      </c>
      <c r="AD15" s="221">
        <v>1</v>
      </c>
      <c r="AE15" s="221">
        <v>0.8</v>
      </c>
      <c r="AF15" s="238">
        <f>SUM(S15:T15)</f>
        <v>1.2</v>
      </c>
      <c r="AG15" s="238">
        <f>SUM(U15:V15)</f>
        <v>6</v>
      </c>
      <c r="AH15" s="221">
        <v>3</v>
      </c>
      <c r="AI15" s="221">
        <v>5</v>
      </c>
      <c r="AJ15" s="221">
        <v>4.5</v>
      </c>
      <c r="AK15" s="221">
        <v>5</v>
      </c>
      <c r="AL15" s="238">
        <f>SUM(W15:AK15)</f>
        <v>66.7</v>
      </c>
      <c r="AM15" s="243">
        <f>RANK(AL15,$AL$11:$AL$27)</f>
        <v>12</v>
      </c>
      <c r="AN15" s="218"/>
      <c r="AO15" s="243">
        <f>RANK(I15,$I$11:$I$27,1)</f>
        <v>14</v>
      </c>
      <c r="AP15" s="196">
        <v>14.3</v>
      </c>
      <c r="AQ15" s="196">
        <v>14.15</v>
      </c>
      <c r="AR15" s="196">
        <v>13.85</v>
      </c>
      <c r="AS15" s="196"/>
      <c r="AT15" s="196"/>
      <c r="AU15" s="197">
        <f>AVERAGE(AP15:AT15)</f>
        <v>14.100000000000001</v>
      </c>
      <c r="AV15" s="196">
        <v>13.8</v>
      </c>
      <c r="AW15" s="196">
        <v>13.45</v>
      </c>
      <c r="AX15" s="196">
        <v>14.75</v>
      </c>
      <c r="AY15" s="196"/>
      <c r="BA15" s="199">
        <f>AVERAGE(AV15:AY15)</f>
        <v>14</v>
      </c>
      <c r="BB15" s="200">
        <v>12</v>
      </c>
      <c r="BC15" s="200">
        <f>IF(ISERR(BA15),0,IF(BA15&lt;BB15,BA15-BB15,0))</f>
        <v>0</v>
      </c>
      <c r="BD15" s="196">
        <v>12.15</v>
      </c>
      <c r="BE15" s="196">
        <v>11.7</v>
      </c>
      <c r="BF15" s="196">
        <v>11.85</v>
      </c>
      <c r="BG15" s="196"/>
      <c r="BI15" s="199">
        <f>AVERAGE(BD15:BG15)</f>
        <v>11.9</v>
      </c>
      <c r="BJ15" s="196">
        <v>12</v>
      </c>
      <c r="BK15" s="196">
        <v>12.2</v>
      </c>
      <c r="BL15" s="196">
        <v>11.4</v>
      </c>
      <c r="BM15" s="196"/>
      <c r="BN15" s="196"/>
      <c r="BO15" s="199">
        <f>AVERAGE(BJ15:BM15)</f>
        <v>11.866666666666667</v>
      </c>
      <c r="BP15" s="200">
        <v>11</v>
      </c>
      <c r="BQ15" s="200">
        <f>IF(ISERR(BO15),0,IF(BO15&lt;BP15,BO15-BP15,0))</f>
        <v>0</v>
      </c>
    </row>
    <row r="16" spans="1:69">
      <c r="A16" s="218" t="s">
        <v>100</v>
      </c>
      <c r="B16" s="218" t="s">
        <v>708</v>
      </c>
      <c r="C16" s="219" t="s">
        <v>672</v>
      </c>
      <c r="D16" s="219">
        <v>4</v>
      </c>
      <c r="E16" s="229">
        <v>0.54375000000000007</v>
      </c>
      <c r="F16" s="220">
        <v>0.56855324074074076</v>
      </c>
      <c r="G16" s="220">
        <v>0.65295138888888882</v>
      </c>
      <c r="H16" s="208">
        <f>F16-E16</f>
        <v>2.4803240740740695E-2</v>
      </c>
      <c r="I16" s="208">
        <f>H16-MIN(H$3:H$27)</f>
        <v>3.9814814814814747E-3</v>
      </c>
      <c r="J16" s="208">
        <f>G16-E16</f>
        <v>0.10920138888888875</v>
      </c>
      <c r="K16" s="220">
        <v>0.13194444444444445</v>
      </c>
      <c r="L16" s="220">
        <v>0.32916666666666666</v>
      </c>
      <c r="M16" s="220">
        <v>0.3500462962962963</v>
      </c>
      <c r="N16" s="220"/>
      <c r="O16" s="208">
        <f>M16-L16</f>
        <v>2.0879629629629637E-2</v>
      </c>
      <c r="P16" s="208">
        <f>O16-MIN(O$3:O$27)</f>
        <v>4.9884259259259656E-3</v>
      </c>
      <c r="Q16" s="208">
        <f>N16-L16</f>
        <v>-0.32916666666666666</v>
      </c>
      <c r="R16" s="220">
        <v>0.15972222222222224</v>
      </c>
      <c r="S16" s="221">
        <v>1</v>
      </c>
      <c r="T16" s="221">
        <v>0.4</v>
      </c>
      <c r="U16" s="221">
        <v>5</v>
      </c>
      <c r="V16" s="221">
        <v>3</v>
      </c>
      <c r="W16" s="238">
        <f>ROUND(MAX(W$2-I16*60*24*0.5+BC16,0),1)</f>
        <v>17.100000000000001</v>
      </c>
      <c r="X16" s="238">
        <f>ROUND(MAX(X$2-P16*60*24*0.5+BQ16,0),1)</f>
        <v>16.399999999999999</v>
      </c>
      <c r="Y16" s="238">
        <f>ROUND(MAX(MIN(Y$2+(K16-J16)*60*24*0.2,$Y$2),0),1)</f>
        <v>5</v>
      </c>
      <c r="Z16" s="238">
        <f>ROUND(MAX(MIN($Z$2+(R16-Q16)*60*24*0.2,$Z$2),0),1)</f>
        <v>5</v>
      </c>
      <c r="AA16" s="221">
        <v>3.3</v>
      </c>
      <c r="AB16" s="221">
        <v>3.9</v>
      </c>
      <c r="AC16" s="221">
        <v>3.3</v>
      </c>
      <c r="AD16" s="221">
        <v>3.3</v>
      </c>
      <c r="AE16" s="221">
        <v>1.8</v>
      </c>
      <c r="AF16" s="238">
        <f>SUM(S16:T16)</f>
        <v>1.4</v>
      </c>
      <c r="AG16" s="238">
        <f>SUM(U16:V16)</f>
        <v>8</v>
      </c>
      <c r="AH16" s="221">
        <v>3.5</v>
      </c>
      <c r="AI16" s="221">
        <v>4.8</v>
      </c>
      <c r="AJ16" s="221">
        <v>5</v>
      </c>
      <c r="AK16" s="221">
        <v>5</v>
      </c>
      <c r="AL16" s="238">
        <f>SUM(W16:AK16)</f>
        <v>86.799999999999983</v>
      </c>
      <c r="AM16" s="243">
        <f>RANK(AL16,$AL$11:$AL$27)</f>
        <v>4</v>
      </c>
      <c r="AN16" s="218"/>
      <c r="AO16" s="243">
        <f>RANK(I16,$I$11:$I$27,1)</f>
        <v>2</v>
      </c>
      <c r="AP16" s="196">
        <v>12.4</v>
      </c>
      <c r="AQ16" s="196">
        <v>12.6</v>
      </c>
      <c r="AR16" s="196">
        <v>12.75</v>
      </c>
      <c r="AS16" s="196">
        <v>12.6</v>
      </c>
      <c r="AT16" s="196"/>
      <c r="AU16" s="197">
        <f>AVERAGE(AP16:AT16)</f>
        <v>12.5875</v>
      </c>
      <c r="AV16" s="196">
        <v>12.65</v>
      </c>
      <c r="AW16" s="196">
        <v>12.75</v>
      </c>
      <c r="AX16" s="196">
        <v>12.3</v>
      </c>
      <c r="AY16" s="196">
        <v>12.6</v>
      </c>
      <c r="BA16" s="199">
        <f>AVERAGE(AV16:AY16)</f>
        <v>12.575000000000001</v>
      </c>
      <c r="BB16" s="200">
        <v>12</v>
      </c>
      <c r="BC16" s="200">
        <f>IF(ISERR(BA16),0,IF(BA16&lt;BB16,BA16-BB16,0))</f>
        <v>0</v>
      </c>
      <c r="BD16" s="196">
        <v>15.95</v>
      </c>
      <c r="BE16" s="196">
        <v>12.85</v>
      </c>
      <c r="BF16" s="196">
        <v>14.1</v>
      </c>
      <c r="BG16" s="196">
        <v>14.45</v>
      </c>
      <c r="BI16" s="199">
        <f>AVERAGE(BD16:BG16)</f>
        <v>14.337499999999999</v>
      </c>
      <c r="BJ16" s="196">
        <v>15</v>
      </c>
      <c r="BK16" s="196">
        <v>13.5</v>
      </c>
      <c r="BL16" s="196">
        <v>14.1</v>
      </c>
      <c r="BM16" s="196">
        <v>15.4</v>
      </c>
      <c r="BN16" s="196"/>
      <c r="BO16" s="199">
        <f>AVERAGE(BJ16:BM16)</f>
        <v>14.5</v>
      </c>
      <c r="BP16" s="200">
        <v>11</v>
      </c>
      <c r="BQ16" s="200">
        <f>IF(ISERR(BO16),0,IF(BO16&lt;BP16,BO16-BP16,0))</f>
        <v>0</v>
      </c>
    </row>
    <row r="17" spans="1:69">
      <c r="A17" s="218" t="s">
        <v>100</v>
      </c>
      <c r="B17" s="218" t="s">
        <v>714</v>
      </c>
      <c r="C17" s="219" t="s">
        <v>673</v>
      </c>
      <c r="D17" s="219">
        <v>4</v>
      </c>
      <c r="E17" s="220">
        <v>0.5444444444444444</v>
      </c>
      <c r="F17" s="220">
        <v>0.57707175925925924</v>
      </c>
      <c r="G17" s="220">
        <v>0.65833333333333333</v>
      </c>
      <c r="H17" s="208">
        <f>F17-E17</f>
        <v>3.2627314814814845E-2</v>
      </c>
      <c r="I17" s="208">
        <f>H17-MIN(H$3:H$27)</f>
        <v>1.1805555555555625E-2</v>
      </c>
      <c r="J17" s="208">
        <f>G17-E17</f>
        <v>0.11388888888888893</v>
      </c>
      <c r="K17" s="220">
        <v>0.13194444444444445</v>
      </c>
      <c r="L17" s="220">
        <v>0.33611111111111108</v>
      </c>
      <c r="M17" s="220">
        <v>0.35829861111111111</v>
      </c>
      <c r="N17" s="220"/>
      <c r="O17" s="208">
        <f>M17-L17</f>
        <v>2.2187500000000027E-2</v>
      </c>
      <c r="P17" s="208">
        <f>O17-MIN(O$3:O$27)</f>
        <v>6.2962962962963553E-3</v>
      </c>
      <c r="Q17" s="208">
        <f>N17-L17</f>
        <v>-0.33611111111111108</v>
      </c>
      <c r="R17" s="220">
        <v>0.15972222222222224</v>
      </c>
      <c r="S17" s="221">
        <v>0.6</v>
      </c>
      <c r="T17" s="221">
        <v>0.6</v>
      </c>
      <c r="U17" s="221">
        <v>6</v>
      </c>
      <c r="V17" s="221">
        <v>4</v>
      </c>
      <c r="W17" s="238">
        <f>ROUND(MAX(W$2-I17*60*24*0.5+BC17,0),1)</f>
        <v>11.5</v>
      </c>
      <c r="X17" s="238">
        <f>ROUND(MAX(X$2-P17*60*24*0.5+BQ17,0),1)</f>
        <v>15.5</v>
      </c>
      <c r="Y17" s="238">
        <f>ROUND(MAX(MIN(Y$2+(K17-J17)*60*24*0.2,$Y$2),0),1)</f>
        <v>5</v>
      </c>
      <c r="Z17" s="238">
        <f>ROUND(MAX(MIN($Z$2+(R17-Q17)*60*24*0.2,$Z$2),0),1)</f>
        <v>5</v>
      </c>
      <c r="AA17" s="221">
        <v>2.2999999999999998</v>
      </c>
      <c r="AB17" s="221">
        <v>2.8</v>
      </c>
      <c r="AC17" s="221">
        <v>3.4</v>
      </c>
      <c r="AD17" s="221">
        <v>2.5</v>
      </c>
      <c r="AE17" s="221">
        <v>1</v>
      </c>
      <c r="AF17" s="238">
        <f>SUM(S17:T17)</f>
        <v>1.2</v>
      </c>
      <c r="AG17" s="238">
        <f>SUM(U17:V17)</f>
        <v>10</v>
      </c>
      <c r="AH17" s="221">
        <v>1</v>
      </c>
      <c r="AI17" s="221">
        <v>5</v>
      </c>
      <c r="AJ17" s="221">
        <v>5</v>
      </c>
      <c r="AK17" s="221">
        <v>5</v>
      </c>
      <c r="AL17" s="238">
        <f>SUM(W17:AK17)</f>
        <v>76.199999999999989</v>
      </c>
      <c r="AM17" s="243">
        <f>RANK(AL17,$AL$11:$AL$27)</f>
        <v>10</v>
      </c>
      <c r="AN17" s="218"/>
      <c r="AO17" s="243">
        <f>RANK(I17,$I$11:$I$27,1)</f>
        <v>12</v>
      </c>
      <c r="AP17" s="196">
        <v>14.15</v>
      </c>
      <c r="AQ17" s="196">
        <v>15.2</v>
      </c>
      <c r="AR17" s="196">
        <v>15.75</v>
      </c>
      <c r="AS17" s="196">
        <v>14.95</v>
      </c>
      <c r="AT17" s="196"/>
      <c r="AU17" s="197">
        <f>AVERAGE(AP17:AT17)</f>
        <v>15.012499999999999</v>
      </c>
      <c r="AV17" s="196">
        <v>15.25</v>
      </c>
      <c r="AW17" s="196">
        <v>15.05</v>
      </c>
      <c r="AX17" s="196">
        <v>14.1</v>
      </c>
      <c r="AY17" s="196">
        <v>15.8</v>
      </c>
      <c r="BA17" s="199">
        <f>AVERAGE(AV17:AY17)</f>
        <v>15.05</v>
      </c>
      <c r="BB17" s="200">
        <v>12</v>
      </c>
      <c r="BC17" s="200">
        <f>IF(ISERR(BA17),0,IF(BA17&lt;BB17,BA17-BB17,0))</f>
        <v>0</v>
      </c>
      <c r="BD17" s="196">
        <v>12.1</v>
      </c>
      <c r="BE17" s="196">
        <v>14.85</v>
      </c>
      <c r="BF17" s="196">
        <v>15.15</v>
      </c>
      <c r="BG17" s="196">
        <v>13.55</v>
      </c>
      <c r="BI17" s="199">
        <f>AVERAGE(BD17:BG17)</f>
        <v>13.912500000000001</v>
      </c>
      <c r="BJ17" s="196">
        <v>14.4</v>
      </c>
      <c r="BK17" s="196">
        <v>14.6</v>
      </c>
      <c r="BL17" s="196">
        <v>12.5</v>
      </c>
      <c r="BM17" s="196">
        <v>14.5</v>
      </c>
      <c r="BN17" s="196"/>
      <c r="BO17" s="199">
        <f>AVERAGE(BJ17:BM17)</f>
        <v>14</v>
      </c>
      <c r="BP17" s="200">
        <v>11</v>
      </c>
      <c r="BQ17" s="200">
        <f>IF(ISERR(BO17),0,IF(BO17&lt;BP17,BO17-BP17,0))</f>
        <v>0</v>
      </c>
    </row>
    <row r="18" spans="1:69">
      <c r="A18" s="218" t="s">
        <v>100</v>
      </c>
      <c r="B18" s="218" t="s">
        <v>713</v>
      </c>
      <c r="C18" s="228" t="s">
        <v>674</v>
      </c>
      <c r="D18" s="219">
        <v>4</v>
      </c>
      <c r="E18" s="229">
        <v>0.54513888888888895</v>
      </c>
      <c r="F18" s="220">
        <v>0.58401620370370366</v>
      </c>
      <c r="G18" s="220">
        <v>0.66710648148148144</v>
      </c>
      <c r="H18" s="208">
        <f>F18-E18</f>
        <v>3.8877314814814712E-2</v>
      </c>
      <c r="I18" s="208">
        <f>H18-MIN(H$3:H$27)</f>
        <v>1.8055555555555491E-2</v>
      </c>
      <c r="J18" s="208">
        <f>G18-E18</f>
        <v>0.12196759259259249</v>
      </c>
      <c r="K18" s="220">
        <v>0.13194444444444445</v>
      </c>
      <c r="L18" s="220">
        <v>0.33888888888888885</v>
      </c>
      <c r="M18" s="220">
        <v>0.37336805555555558</v>
      </c>
      <c r="N18" s="220"/>
      <c r="O18" s="208">
        <f>M18-L18</f>
        <v>3.4479166666666727E-2</v>
      </c>
      <c r="P18" s="208">
        <f>O18-MIN(O$3:O$27)</f>
        <v>1.8587962962963056E-2</v>
      </c>
      <c r="Q18" s="208">
        <f>N18-L18</f>
        <v>-0.33888888888888885</v>
      </c>
      <c r="R18" s="220">
        <v>0.15972222222222224</v>
      </c>
      <c r="S18" s="221">
        <v>0.6</v>
      </c>
      <c r="T18" s="221">
        <v>0</v>
      </c>
      <c r="U18" s="221">
        <v>0</v>
      </c>
      <c r="V18" s="221">
        <v>3</v>
      </c>
      <c r="W18" s="238">
        <f>ROUND(MAX(W$2-I18*60*24*0.5+BC18,0),1)</f>
        <v>7</v>
      </c>
      <c r="X18" s="238">
        <f>ROUND(MAX(X$2-P18*60*24*0.5+BQ18,0),1)</f>
        <v>6.6</v>
      </c>
      <c r="Y18" s="238">
        <f>ROUND(MAX(MIN(Y$2+(K18-J18)*60*24*0.2,$Y$2),0),1)</f>
        <v>5</v>
      </c>
      <c r="Z18" s="238">
        <f>ROUND(MAX(MIN($Z$2+(R18-Q18)*60*24*0.2,$Z$2),0),1)</f>
        <v>5</v>
      </c>
      <c r="AA18" s="221">
        <v>1.3</v>
      </c>
      <c r="AB18" s="221">
        <v>0.9</v>
      </c>
      <c r="AC18" s="221">
        <v>2.1</v>
      </c>
      <c r="AD18" s="221">
        <v>1.3</v>
      </c>
      <c r="AE18" s="221">
        <v>1.8</v>
      </c>
      <c r="AF18" s="238">
        <f>SUM(S18:T18)</f>
        <v>0.6</v>
      </c>
      <c r="AG18" s="238">
        <f>SUM(U18:V18)</f>
        <v>3</v>
      </c>
      <c r="AH18" s="221">
        <v>2</v>
      </c>
      <c r="AI18" s="221">
        <v>4</v>
      </c>
      <c r="AJ18" s="221">
        <v>3.5</v>
      </c>
      <c r="AK18" s="221">
        <v>4.5</v>
      </c>
      <c r="AL18" s="238">
        <f>SUM(W18:AK18)</f>
        <v>48.600000000000009</v>
      </c>
      <c r="AM18" s="243">
        <f>RANK(AL18,$AL$11:$AL$27)</f>
        <v>15</v>
      </c>
      <c r="AN18" s="218"/>
      <c r="AO18" s="243">
        <f>RANK(I18,$I$11:$I$27,1)</f>
        <v>16</v>
      </c>
      <c r="AP18" s="196">
        <v>15.85</v>
      </c>
      <c r="AQ18" s="196">
        <v>14.8</v>
      </c>
      <c r="AR18" s="196">
        <v>13.65</v>
      </c>
      <c r="AS18" s="196">
        <v>14.25</v>
      </c>
      <c r="AT18" s="196">
        <v>13.15</v>
      </c>
      <c r="AU18" s="197">
        <f>AVERAGE(AP18:AT18)</f>
        <v>14.34</v>
      </c>
      <c r="AV18" s="196">
        <v>15.8</v>
      </c>
      <c r="AW18" s="196">
        <v>13.45</v>
      </c>
      <c r="AX18" s="196">
        <v>14.1</v>
      </c>
      <c r="AY18" s="196">
        <v>14.9</v>
      </c>
      <c r="AZ18" s="196">
        <v>13.15</v>
      </c>
      <c r="BA18" s="199">
        <f>AVERAGE(AV18:AZ18)</f>
        <v>14.280000000000001</v>
      </c>
      <c r="BB18" s="200">
        <v>12</v>
      </c>
      <c r="BC18" s="200">
        <f>IF(ISERR(BA18),0,IF(BA18&lt;BB18,BA18-BB18,0))</f>
        <v>0</v>
      </c>
      <c r="BD18" s="196">
        <v>13.1</v>
      </c>
      <c r="BE18" s="196">
        <v>14.7</v>
      </c>
      <c r="BF18" s="196">
        <v>12.1</v>
      </c>
      <c r="BG18" s="196">
        <v>14.95</v>
      </c>
      <c r="BH18" s="196">
        <v>18.149999999999999</v>
      </c>
      <c r="BI18" s="199">
        <f>AVERAGE(BD18:BH18)</f>
        <v>14.6</v>
      </c>
      <c r="BJ18" s="196">
        <v>18</v>
      </c>
      <c r="BK18" s="196">
        <v>13.2</v>
      </c>
      <c r="BL18" s="196">
        <v>11.2</v>
      </c>
      <c r="BM18" s="196">
        <v>14.6</v>
      </c>
      <c r="BN18" s="196">
        <v>14.5</v>
      </c>
      <c r="BO18" s="199">
        <f>AVERAGE(BJ18:BN18)</f>
        <v>14.3</v>
      </c>
      <c r="BP18" s="200">
        <v>11</v>
      </c>
      <c r="BQ18" s="200">
        <f>IF(ISERR(BO18),0,IF(BO18&lt;BP18,BO18-BP18,0))</f>
        <v>0</v>
      </c>
    </row>
    <row r="19" spans="1:69">
      <c r="A19" s="218" t="s">
        <v>100</v>
      </c>
      <c r="B19" s="218" t="s">
        <v>710</v>
      </c>
      <c r="C19" s="228" t="s">
        <v>675</v>
      </c>
      <c r="D19" s="219">
        <v>5</v>
      </c>
      <c r="E19" s="220">
        <v>0.54583333333333295</v>
      </c>
      <c r="F19" s="220">
        <v>0.57200231481481478</v>
      </c>
      <c r="G19" s="220">
        <v>0.66665509259259259</v>
      </c>
      <c r="H19" s="208">
        <f>F19-E19</f>
        <v>2.6168981481481834E-2</v>
      </c>
      <c r="I19" s="208">
        <f>H19-MIN(H$3:H$27)</f>
        <v>5.347222222222614E-3</v>
      </c>
      <c r="J19" s="208">
        <f>G19-E19</f>
        <v>0.12082175925925964</v>
      </c>
      <c r="K19" s="220">
        <v>0.13194444444444445</v>
      </c>
      <c r="L19" s="220">
        <v>0.33055555555555555</v>
      </c>
      <c r="M19" s="220">
        <v>0.35063657407407406</v>
      </c>
      <c r="N19" s="220"/>
      <c r="O19" s="208">
        <f>M19-L19</f>
        <v>2.0081018518518512E-2</v>
      </c>
      <c r="P19" s="208">
        <f>O19-MIN(O$3:O$27)</f>
        <v>4.1898148148148406E-3</v>
      </c>
      <c r="Q19" s="208">
        <f>N19-L19</f>
        <v>-0.33055555555555555</v>
      </c>
      <c r="R19" s="220">
        <v>0.15972222222222224</v>
      </c>
      <c r="S19" s="221">
        <v>0.7</v>
      </c>
      <c r="T19" s="221">
        <v>0.6</v>
      </c>
      <c r="U19" s="221">
        <v>5</v>
      </c>
      <c r="V19" s="221">
        <v>4</v>
      </c>
      <c r="W19" s="238">
        <f>ROUND(MAX(W$2-I19*60*24*0.5+BC19,0),1)</f>
        <v>16.100000000000001</v>
      </c>
      <c r="X19" s="238">
        <f>ROUND(MAX(X$2-P19*60*24*0.5+BQ19,0),1)</f>
        <v>17</v>
      </c>
      <c r="Y19" s="238">
        <f>ROUND(MAX(MIN(Y$2+(K19-J19)*60*24*0.2,$Y$2),0),1)</f>
        <v>5</v>
      </c>
      <c r="Z19" s="238">
        <f>ROUND(MAX(MIN($Z$2+(R19-Q19)*60*24*0.2,$Z$2),0),1)</f>
        <v>5</v>
      </c>
      <c r="AA19" s="221">
        <v>3.9</v>
      </c>
      <c r="AB19" s="221">
        <v>0</v>
      </c>
      <c r="AC19" s="221">
        <v>2.8</v>
      </c>
      <c r="AD19" s="221">
        <v>2</v>
      </c>
      <c r="AE19" s="221">
        <v>2</v>
      </c>
      <c r="AF19" s="238">
        <f>SUM(S19:T19)</f>
        <v>1.2999999999999998</v>
      </c>
      <c r="AG19" s="238">
        <f>SUM(U19:V19)</f>
        <v>9</v>
      </c>
      <c r="AH19" s="221">
        <v>4</v>
      </c>
      <c r="AI19" s="221">
        <v>5</v>
      </c>
      <c r="AJ19" s="221">
        <v>5</v>
      </c>
      <c r="AK19" s="221">
        <v>5</v>
      </c>
      <c r="AL19" s="238">
        <f>SUM(W19:AK19)</f>
        <v>83.1</v>
      </c>
      <c r="AM19" s="243">
        <f>RANK(AL19,$AL$11:$AL$27)</f>
        <v>6</v>
      </c>
      <c r="AN19" s="218"/>
      <c r="AO19" s="243">
        <f>RANK(I19,$I$11:$I$27,1)</f>
        <v>4</v>
      </c>
      <c r="AP19" s="196">
        <v>11</v>
      </c>
      <c r="AQ19" s="196">
        <v>13.35</v>
      </c>
      <c r="AR19" s="196">
        <v>12.95</v>
      </c>
      <c r="AS19" s="196">
        <v>13</v>
      </c>
      <c r="AT19" s="196">
        <v>10.65</v>
      </c>
      <c r="AU19" s="197">
        <f>AVERAGE(AP19:AT19)</f>
        <v>12.19</v>
      </c>
      <c r="AV19" s="196">
        <v>13.3</v>
      </c>
      <c r="AW19" s="196">
        <v>11.2</v>
      </c>
      <c r="AX19" s="196">
        <v>12.85</v>
      </c>
      <c r="AY19" s="196">
        <v>13</v>
      </c>
      <c r="AZ19" s="196">
        <v>10.65</v>
      </c>
      <c r="BA19" s="199">
        <f>AVERAGE(AV19:AZ19)</f>
        <v>12.2</v>
      </c>
      <c r="BB19" s="200">
        <v>12</v>
      </c>
      <c r="BC19" s="200">
        <f>IF(ISERR(BA19),0,IF(BA19&lt;BB19,BA19-BB19,0))</f>
        <v>0</v>
      </c>
      <c r="BD19" s="196">
        <v>10.199999999999999</v>
      </c>
      <c r="BE19" s="196">
        <v>11.6</v>
      </c>
      <c r="BF19" s="196">
        <v>11.65</v>
      </c>
      <c r="BG19" s="196">
        <v>10.35</v>
      </c>
      <c r="BH19" s="196">
        <v>11.65</v>
      </c>
      <c r="BI19" s="199">
        <f>AVERAGE(BD19:BH19)</f>
        <v>11.09</v>
      </c>
      <c r="BJ19" s="196">
        <v>10.1</v>
      </c>
      <c r="BK19" s="196">
        <v>12.2</v>
      </c>
      <c r="BL19" s="196">
        <v>10.199999999999999</v>
      </c>
      <c r="BM19" s="196">
        <v>12.3</v>
      </c>
      <c r="BN19" s="196">
        <v>12</v>
      </c>
      <c r="BO19" s="199">
        <f>AVERAGE(BJ19:BN19)</f>
        <v>11.36</v>
      </c>
      <c r="BP19" s="200">
        <v>11</v>
      </c>
      <c r="BQ19" s="200">
        <f>IF(ISERR(BO19),0,IF(BO19&lt;BP19,BO19-BP19,0))</f>
        <v>0</v>
      </c>
    </row>
    <row r="20" spans="1:69">
      <c r="A20" s="218" t="s">
        <v>100</v>
      </c>
      <c r="B20" s="218" t="s">
        <v>719</v>
      </c>
      <c r="C20" s="228" t="s">
        <v>676</v>
      </c>
      <c r="D20" s="219">
        <v>4</v>
      </c>
      <c r="E20" s="229">
        <v>0.54652777777777695</v>
      </c>
      <c r="F20" s="220">
        <v>0.57234953703703706</v>
      </c>
      <c r="G20" s="220">
        <v>0.67062499999999992</v>
      </c>
      <c r="H20" s="208">
        <f>F20-E20</f>
        <v>2.5821759259260113E-2</v>
      </c>
      <c r="I20" s="208">
        <f>H20-MIN(H$3:H$27)</f>
        <v>5.0000000000008926E-3</v>
      </c>
      <c r="J20" s="208">
        <f>G20-E20</f>
        <v>0.12409722222222297</v>
      </c>
      <c r="K20" s="220">
        <v>0.13194444444444445</v>
      </c>
      <c r="L20" s="220">
        <v>0.3298611111111111</v>
      </c>
      <c r="M20" s="220">
        <v>0.35035879629629635</v>
      </c>
      <c r="N20" s="220"/>
      <c r="O20" s="208">
        <f>M20-L20</f>
        <v>2.0497685185185244E-2</v>
      </c>
      <c r="P20" s="208">
        <f>O20-MIN(O$3:O$27)</f>
        <v>4.6064814814815724E-3</v>
      </c>
      <c r="Q20" s="208">
        <f>N20-L20</f>
        <v>-0.3298611111111111</v>
      </c>
      <c r="R20" s="220">
        <v>0.15972222222222224</v>
      </c>
      <c r="S20" s="221">
        <v>0.8</v>
      </c>
      <c r="T20" s="221">
        <v>0.4</v>
      </c>
      <c r="U20" s="221">
        <v>6</v>
      </c>
      <c r="V20" s="221">
        <v>4</v>
      </c>
      <c r="W20" s="238">
        <f>ROUND(MAX(W$2-I20*60*24*0.5+BC20,0),1)</f>
        <v>16.399999999999999</v>
      </c>
      <c r="X20" s="238">
        <f>ROUND(MAX(X$2-P20*60*24*0.5+BQ20,0),1)</f>
        <v>16.7</v>
      </c>
      <c r="Y20" s="238">
        <f>ROUND(MAX(MIN(Y$2+(K20-J20)*60*24*0.2,$Y$2),0),1)</f>
        <v>5</v>
      </c>
      <c r="Z20" s="238">
        <f>ROUND(MAX(MIN($Z$2+(R20-Q20)*60*24*0.2,$Z$2),0),1)</f>
        <v>5</v>
      </c>
      <c r="AA20" s="221">
        <v>3.5</v>
      </c>
      <c r="AB20" s="221">
        <v>3.4</v>
      </c>
      <c r="AC20" s="221">
        <v>3.8</v>
      </c>
      <c r="AD20" s="221">
        <v>3.1</v>
      </c>
      <c r="AE20" s="221">
        <v>2</v>
      </c>
      <c r="AF20" s="238">
        <f>SUM(S20:T20)</f>
        <v>1.2000000000000002</v>
      </c>
      <c r="AG20" s="238">
        <f>SUM(U20:V20)</f>
        <v>10</v>
      </c>
      <c r="AH20" s="221">
        <v>4.5</v>
      </c>
      <c r="AI20" s="221">
        <v>4</v>
      </c>
      <c r="AJ20" s="221">
        <v>5</v>
      </c>
      <c r="AK20" s="221">
        <v>5</v>
      </c>
      <c r="AL20" s="238">
        <f>SUM(W20:AK20)</f>
        <v>88.6</v>
      </c>
      <c r="AM20" s="243">
        <f>RANK(AL20,$AL$11:$AL$27)</f>
        <v>2</v>
      </c>
      <c r="AN20" s="218"/>
      <c r="AO20" s="243">
        <f>RANK(I20,$I$11:$I$27,1)</f>
        <v>3</v>
      </c>
      <c r="AP20" s="196">
        <v>11.1</v>
      </c>
      <c r="AQ20" s="196">
        <v>12.35</v>
      </c>
      <c r="AR20" s="196">
        <v>12</v>
      </c>
      <c r="AS20" s="196">
        <v>14.5</v>
      </c>
      <c r="AT20" s="196"/>
      <c r="AU20" s="197">
        <f>AVERAGE(AP20:AT20)</f>
        <v>12.487500000000001</v>
      </c>
      <c r="AV20" s="196">
        <v>11.15</v>
      </c>
      <c r="AW20" s="196">
        <v>12.35</v>
      </c>
      <c r="AX20" s="196">
        <v>14</v>
      </c>
      <c r="AY20" s="196">
        <v>11.95</v>
      </c>
      <c r="BA20" s="199">
        <f>AVERAGE(AV20:AY20)</f>
        <v>12.362500000000001</v>
      </c>
      <c r="BB20" s="200">
        <v>12</v>
      </c>
      <c r="BC20" s="200">
        <f>IF(ISERR(BA20),0,IF(BA20&lt;BB20,BA20-BB20,0))</f>
        <v>0</v>
      </c>
      <c r="BD20" s="196">
        <v>12.25</v>
      </c>
      <c r="BE20" s="196">
        <v>11.8</v>
      </c>
      <c r="BF20" s="196">
        <v>12.15</v>
      </c>
      <c r="BG20" s="196">
        <v>12.55</v>
      </c>
      <c r="BI20" s="199">
        <f>AVERAGE(BD20:BG20)</f>
        <v>12.1875</v>
      </c>
      <c r="BJ20" s="196">
        <v>13.8</v>
      </c>
      <c r="BK20" s="196">
        <v>11.1</v>
      </c>
      <c r="BL20" s="196">
        <v>12</v>
      </c>
      <c r="BM20" s="196">
        <v>11.3</v>
      </c>
      <c r="BN20" s="196"/>
      <c r="BO20" s="199">
        <f>AVERAGE(BJ20:BM20)</f>
        <v>12.05</v>
      </c>
      <c r="BP20" s="200">
        <v>11</v>
      </c>
      <c r="BQ20" s="200">
        <f>IF(ISERR(BO20),0,IF(BO20&lt;BP20,BO20-BP20,0))</f>
        <v>0</v>
      </c>
    </row>
    <row r="21" spans="1:69">
      <c r="A21" s="218" t="s">
        <v>100</v>
      </c>
      <c r="B21" s="218" t="s">
        <v>717</v>
      </c>
      <c r="C21" s="228" t="s">
        <v>677</v>
      </c>
      <c r="D21" s="219">
        <v>4</v>
      </c>
      <c r="E21" s="220">
        <v>0.54722222222222205</v>
      </c>
      <c r="F21" s="220">
        <v>0.57998842592592592</v>
      </c>
      <c r="G21" s="220">
        <v>0.67513888888888884</v>
      </c>
      <c r="H21" s="208">
        <f>F21-E21</f>
        <v>3.2766203703703867E-2</v>
      </c>
      <c r="I21" s="208">
        <f>H21-MIN(H$3:H$27)</f>
        <v>1.1944444444444646E-2</v>
      </c>
      <c r="J21" s="208">
        <f>G21-E21</f>
        <v>0.12791666666666679</v>
      </c>
      <c r="K21" s="220">
        <v>0.13194444444444445</v>
      </c>
      <c r="L21" s="220">
        <v>0.33680555555555558</v>
      </c>
      <c r="M21" s="220">
        <v>0.36098379629629629</v>
      </c>
      <c r="N21" s="220"/>
      <c r="O21" s="208">
        <f>M21-L21</f>
        <v>2.4178240740740709E-2</v>
      </c>
      <c r="P21" s="208">
        <f>O21-MIN(O$3:O$27)</f>
        <v>8.2870370370370372E-3</v>
      </c>
      <c r="Q21" s="208">
        <f>N21-L21</f>
        <v>-0.33680555555555558</v>
      </c>
      <c r="R21" s="220">
        <v>0.15972222222222224</v>
      </c>
      <c r="S21" s="221">
        <v>0.4</v>
      </c>
      <c r="T21" s="221">
        <v>0.6</v>
      </c>
      <c r="U21" s="221">
        <v>0</v>
      </c>
      <c r="V21" s="221">
        <v>3</v>
      </c>
      <c r="W21" s="238">
        <f>ROUND(MAX(W$2-I21*60*24*0.5+BC21,0),1)</f>
        <v>11.4</v>
      </c>
      <c r="X21" s="238">
        <f>ROUND(MAX(X$2-P21*60*24*0.5+BQ21,0),1)</f>
        <v>14</v>
      </c>
      <c r="Y21" s="238">
        <f>ROUND(MAX(MIN(Y$2+(K21-J21)*60*24*0.2,$Y$2),0),1)</f>
        <v>5</v>
      </c>
      <c r="Z21" s="238">
        <f>ROUND(MAX(MIN($Z$2+(R21-Q21)*60*24*0.2,$Z$2),0),1)</f>
        <v>5</v>
      </c>
      <c r="AA21" s="221">
        <v>1.5</v>
      </c>
      <c r="AB21" s="221">
        <v>3.6</v>
      </c>
      <c r="AC21" s="221">
        <v>3.2</v>
      </c>
      <c r="AD21" s="221">
        <v>2.2999999999999998</v>
      </c>
      <c r="AE21" s="221">
        <v>1.8</v>
      </c>
      <c r="AF21" s="238">
        <f>SUM(S21:T21)</f>
        <v>1</v>
      </c>
      <c r="AG21" s="238">
        <f>SUM(U21:V21)</f>
        <v>3</v>
      </c>
      <c r="AH21" s="221">
        <v>3</v>
      </c>
      <c r="AI21" s="221">
        <v>3.8</v>
      </c>
      <c r="AJ21" s="221">
        <v>4</v>
      </c>
      <c r="AK21" s="221">
        <v>5</v>
      </c>
      <c r="AL21" s="238">
        <f>SUM(W21:AK21)</f>
        <v>67.599999999999994</v>
      </c>
      <c r="AM21" s="243">
        <f>RANK(AL21,$AL$11:$AL$27)</f>
        <v>11</v>
      </c>
      <c r="AN21" s="218"/>
      <c r="AO21" s="243">
        <f>RANK(I21,$I$11:$I$27,1)</f>
        <v>13</v>
      </c>
      <c r="AP21" s="196">
        <v>12.7</v>
      </c>
      <c r="AQ21" s="196">
        <v>13.55</v>
      </c>
      <c r="AR21" s="196">
        <v>13.75</v>
      </c>
      <c r="AS21" s="196">
        <v>13.3</v>
      </c>
      <c r="AT21" s="196"/>
      <c r="AU21" s="197">
        <f>AVERAGE(AP21:AT21)</f>
        <v>13.324999999999999</v>
      </c>
      <c r="AV21" s="196">
        <v>14.05</v>
      </c>
      <c r="AW21" s="196">
        <v>14.65</v>
      </c>
      <c r="AX21" s="196">
        <v>14.8</v>
      </c>
      <c r="AY21" s="196">
        <v>9.1</v>
      </c>
      <c r="BA21" s="199">
        <f>AVERAGE(AV21:AY21)</f>
        <v>13.15</v>
      </c>
      <c r="BB21" s="200">
        <v>12</v>
      </c>
      <c r="BC21" s="200">
        <f>IF(ISERR(BA21),0,IF(BA21&lt;BB21,BA21-BB21,0))</f>
        <v>0</v>
      </c>
      <c r="BD21" s="196">
        <v>13.25</v>
      </c>
      <c r="BE21" s="196">
        <v>12.4</v>
      </c>
      <c r="BF21" s="196">
        <v>14.4</v>
      </c>
      <c r="BG21" s="196">
        <v>13.2</v>
      </c>
      <c r="BI21" s="199">
        <f>AVERAGE(BD21:BG21)</f>
        <v>13.3125</v>
      </c>
      <c r="BJ21" s="196">
        <v>13</v>
      </c>
      <c r="BK21" s="196">
        <v>12.5</v>
      </c>
      <c r="BL21" s="196">
        <v>13.8</v>
      </c>
      <c r="BM21" s="196">
        <v>13.8</v>
      </c>
      <c r="BN21" s="196"/>
      <c r="BO21" s="199">
        <f>AVERAGE(BJ21:BM21)</f>
        <v>13.274999999999999</v>
      </c>
      <c r="BP21" s="200">
        <v>11</v>
      </c>
      <c r="BQ21" s="200">
        <f>IF(ISERR(BO21),0,IF(BO21&lt;BP21,BO21-BP21,0))</f>
        <v>0</v>
      </c>
    </row>
    <row r="22" spans="1:69">
      <c r="A22" s="218" t="s">
        <v>100</v>
      </c>
      <c r="B22" s="218" t="s">
        <v>715</v>
      </c>
      <c r="C22" s="228" t="s">
        <v>678</v>
      </c>
      <c r="D22" s="219">
        <v>4</v>
      </c>
      <c r="E22" s="229">
        <v>0.54791666666666605</v>
      </c>
      <c r="F22" s="220">
        <v>0.57667824074074081</v>
      </c>
      <c r="G22" s="220">
        <v>0.65498842592592588</v>
      </c>
      <c r="H22" s="208">
        <f>F22-E22</f>
        <v>2.8761574074074758E-2</v>
      </c>
      <c r="I22" s="208">
        <f>H22-MIN(H$3:H$27)</f>
        <v>7.9398148148155379E-3</v>
      </c>
      <c r="J22" s="208">
        <f>G22-E22</f>
        <v>0.10707175925925982</v>
      </c>
      <c r="K22" s="220">
        <v>0.13194444444444445</v>
      </c>
      <c r="L22" s="220">
        <v>0.33263888888888887</v>
      </c>
      <c r="M22" s="220">
        <v>0.35758101851851848</v>
      </c>
      <c r="N22" s="220"/>
      <c r="O22" s="208">
        <f>M22-L22</f>
        <v>2.4942129629629606E-2</v>
      </c>
      <c r="P22" s="208">
        <f>O22-MIN(O$3:O$27)</f>
        <v>9.0509259259259345E-3</v>
      </c>
      <c r="Q22" s="208">
        <f>N22-L22</f>
        <v>-0.33263888888888887</v>
      </c>
      <c r="R22" s="220">
        <v>0.15972222222222224</v>
      </c>
      <c r="S22" s="221">
        <v>0.6</v>
      </c>
      <c r="T22" s="221">
        <v>1</v>
      </c>
      <c r="U22" s="221">
        <v>2</v>
      </c>
      <c r="V22" s="221">
        <v>3</v>
      </c>
      <c r="W22" s="238">
        <f>ROUND(MAX(W$2-I22*60*24*0.5+BC22,0),1)</f>
        <v>14.3</v>
      </c>
      <c r="X22" s="238">
        <f>ROUND(MAX(X$2-P22*60*24*0.5+BQ22,0),1)</f>
        <v>13.5</v>
      </c>
      <c r="Y22" s="238">
        <f>ROUND(MAX(MIN(Y$2+(K22-J22)*60*24*0.2,$Y$2),0),1)</f>
        <v>5</v>
      </c>
      <c r="Z22" s="238">
        <f>ROUND(MAX(MIN($Z$2+(R22-Q22)*60*24*0.2,$Z$2),0),1)</f>
        <v>5</v>
      </c>
      <c r="AA22" s="221">
        <v>3.6</v>
      </c>
      <c r="AB22" s="221">
        <v>2.9</v>
      </c>
      <c r="AC22" s="221">
        <v>2.6</v>
      </c>
      <c r="AD22" s="221">
        <v>1.8</v>
      </c>
      <c r="AE22" s="221">
        <v>2</v>
      </c>
      <c r="AF22" s="238">
        <f>SUM(S22:T22)</f>
        <v>1.6</v>
      </c>
      <c r="AG22" s="238">
        <f>SUM(U22:V22)</f>
        <v>5</v>
      </c>
      <c r="AH22" s="221">
        <v>4.8</v>
      </c>
      <c r="AI22" s="221">
        <v>5</v>
      </c>
      <c r="AJ22" s="221">
        <v>5</v>
      </c>
      <c r="AK22" s="221">
        <v>5</v>
      </c>
      <c r="AL22" s="238">
        <f>SUM(W22:AK22)</f>
        <v>77.099999999999994</v>
      </c>
      <c r="AM22" s="243">
        <f>RANK(AL22,$AL$11:$AL$27)</f>
        <v>9</v>
      </c>
      <c r="AN22" s="218"/>
      <c r="AO22" s="243">
        <f>RANK(I22,$I$11:$I$27,1)</f>
        <v>7</v>
      </c>
      <c r="AP22" s="196">
        <v>13.1</v>
      </c>
      <c r="AQ22" s="196">
        <v>13.5</v>
      </c>
      <c r="AR22" s="196">
        <v>13.05</v>
      </c>
      <c r="AS22" s="196">
        <v>12.6</v>
      </c>
      <c r="AT22" s="196"/>
      <c r="AU22" s="197">
        <f>AVERAGE(AP22:AT22)</f>
        <v>13.062500000000002</v>
      </c>
      <c r="AV22" s="196">
        <v>13</v>
      </c>
      <c r="AW22" s="196">
        <v>13</v>
      </c>
      <c r="AX22" s="196">
        <v>12.65</v>
      </c>
      <c r="AY22" s="196">
        <v>13.5</v>
      </c>
      <c r="BA22" s="199">
        <f>AVERAGE(AV22:AY22)</f>
        <v>13.0375</v>
      </c>
      <c r="BB22" s="200">
        <v>12</v>
      </c>
      <c r="BC22" s="200">
        <f>IF(ISERR(BA22),0,IF(BA22&lt;BB22,BA22-BB22,0))</f>
        <v>0</v>
      </c>
      <c r="BD22" s="196">
        <v>13.8</v>
      </c>
      <c r="BE22" s="196">
        <v>13.8</v>
      </c>
      <c r="BF22" s="196">
        <v>13.85</v>
      </c>
      <c r="BG22" s="196">
        <v>12</v>
      </c>
      <c r="BI22" s="199">
        <f>AVERAGE(BD22:BG22)</f>
        <v>13.362500000000001</v>
      </c>
      <c r="BJ22" s="196">
        <v>13</v>
      </c>
      <c r="BK22" s="196">
        <v>13.4</v>
      </c>
      <c r="BL22" s="196">
        <v>12.5</v>
      </c>
      <c r="BM22" s="196">
        <v>12</v>
      </c>
      <c r="BN22" s="196"/>
      <c r="BO22" s="199">
        <f>AVERAGE(BJ22:BM22)</f>
        <v>12.725</v>
      </c>
      <c r="BP22" s="200">
        <v>11</v>
      </c>
      <c r="BQ22" s="200">
        <f>IF(ISERR(BO22),0,IF(BO22&lt;BP22,BO22-BP22,0))</f>
        <v>0</v>
      </c>
    </row>
    <row r="23" spans="1:69">
      <c r="A23" s="218" t="s">
        <v>100</v>
      </c>
      <c r="B23" s="218" t="s">
        <v>743</v>
      </c>
      <c r="C23" s="228" t="s">
        <v>679</v>
      </c>
      <c r="D23" s="219">
        <v>5</v>
      </c>
      <c r="E23" s="220">
        <v>0.54861111111111005</v>
      </c>
      <c r="F23" s="220">
        <v>0.5773611111111111</v>
      </c>
      <c r="G23" s="220">
        <v>0.67577546296296298</v>
      </c>
      <c r="H23" s="208">
        <f>F23-E23</f>
        <v>2.8750000000001052E-2</v>
      </c>
      <c r="I23" s="208">
        <f>H23-MIN(H$3:H$27)</f>
        <v>7.928240740741832E-3</v>
      </c>
      <c r="J23" s="208">
        <f>G23-E23</f>
        <v>0.12716435185185293</v>
      </c>
      <c r="K23" s="220">
        <v>0.13194444444444445</v>
      </c>
      <c r="L23" s="220">
        <v>0.33194444444444443</v>
      </c>
      <c r="M23" s="220">
        <v>0.35495370370370366</v>
      </c>
      <c r="N23" s="220"/>
      <c r="O23" s="208">
        <f>M23-L23</f>
        <v>2.3009259259259229E-2</v>
      </c>
      <c r="P23" s="208">
        <f>O23-MIN(O$3:O$27)</f>
        <v>7.118055555555558E-3</v>
      </c>
      <c r="Q23" s="208">
        <f>N23-L23</f>
        <v>-0.33194444444444443</v>
      </c>
      <c r="R23" s="220">
        <v>0.15972222222222224</v>
      </c>
      <c r="S23" s="221">
        <v>1</v>
      </c>
      <c r="T23" s="221">
        <v>1</v>
      </c>
      <c r="U23" s="221">
        <v>4</v>
      </c>
      <c r="V23" s="221">
        <v>4</v>
      </c>
      <c r="W23" s="238">
        <f>ROUND(MAX(W$2-I23*60*24*0.5+BC23,0),1)</f>
        <v>14.3</v>
      </c>
      <c r="X23" s="238">
        <f>ROUND(MAX(X$2-P23*60*24*0.5+BQ23,0),1)</f>
        <v>14.9</v>
      </c>
      <c r="Y23" s="238">
        <f>ROUND(MAX(MIN(Y$2+(K23-J23)*60*24*0.2,$Y$2),0),1)</f>
        <v>5</v>
      </c>
      <c r="Z23" s="238">
        <f>ROUND(MAX(MIN($Z$2+(R23-Q23)*60*24*0.2,$Z$2),0),1)</f>
        <v>5</v>
      </c>
      <c r="AA23" s="221">
        <v>3.6</v>
      </c>
      <c r="AB23" s="221">
        <v>3.9</v>
      </c>
      <c r="AC23" s="221">
        <v>3.3</v>
      </c>
      <c r="AD23" s="221">
        <v>2.4</v>
      </c>
      <c r="AE23" s="221">
        <v>2</v>
      </c>
      <c r="AF23" s="238">
        <f>SUM(S23:T23)</f>
        <v>2</v>
      </c>
      <c r="AG23" s="238">
        <f>SUM(U23:V23)</f>
        <v>8</v>
      </c>
      <c r="AH23" s="221">
        <v>5</v>
      </c>
      <c r="AI23" s="221">
        <v>5</v>
      </c>
      <c r="AJ23" s="221">
        <v>5</v>
      </c>
      <c r="AK23" s="221">
        <v>5</v>
      </c>
      <c r="AL23" s="238">
        <f>SUM(W23:AK23)</f>
        <v>84.4</v>
      </c>
      <c r="AM23" s="243">
        <f>RANK(AL23,$AL$11:$AL$27)</f>
        <v>5</v>
      </c>
      <c r="AN23" s="218"/>
      <c r="AO23" s="243">
        <f>RANK(I23,$I$11:$I$27,1)</f>
        <v>6</v>
      </c>
      <c r="AP23" s="196">
        <v>13.1</v>
      </c>
      <c r="AQ23" s="196">
        <v>9.8000000000000007</v>
      </c>
      <c r="AR23" s="196">
        <v>11</v>
      </c>
      <c r="AS23" s="196">
        <v>12.85</v>
      </c>
      <c r="AT23" s="196">
        <v>13.75</v>
      </c>
      <c r="AU23" s="197">
        <f>AVERAGE(AP23:AT23)</f>
        <v>12.1</v>
      </c>
      <c r="AV23" s="196">
        <v>13.1</v>
      </c>
      <c r="AW23" s="196">
        <v>12.9</v>
      </c>
      <c r="AX23" s="196">
        <v>9.85</v>
      </c>
      <c r="AY23" s="196">
        <v>13.8</v>
      </c>
      <c r="AZ23" s="196">
        <v>11.05</v>
      </c>
      <c r="BA23" s="199">
        <f>AVERAGE(AV23:AZ23)</f>
        <v>12.14</v>
      </c>
      <c r="BB23" s="200">
        <v>12</v>
      </c>
      <c r="BC23" s="200">
        <f>IF(ISERR(BA23),0,IF(BA23&lt;BB23,BA23-BB23,0))</f>
        <v>0</v>
      </c>
      <c r="BD23" s="196">
        <v>13.85</v>
      </c>
      <c r="BE23" s="196">
        <v>11.15</v>
      </c>
      <c r="BF23" s="196">
        <v>13.3</v>
      </c>
      <c r="BG23" s="196">
        <v>11.4</v>
      </c>
      <c r="BH23" s="196">
        <v>11.8</v>
      </c>
      <c r="BI23" s="199">
        <f>AVERAGE(BD23:BH23)</f>
        <v>12.3</v>
      </c>
      <c r="BJ23" s="196">
        <v>14</v>
      </c>
      <c r="BK23" s="196">
        <v>12</v>
      </c>
      <c r="BL23" s="196">
        <v>11.1</v>
      </c>
      <c r="BM23" s="196">
        <v>13</v>
      </c>
      <c r="BN23" s="196">
        <v>10.9</v>
      </c>
      <c r="BO23" s="199">
        <f>AVERAGE(BJ23:BN23)</f>
        <v>12.2</v>
      </c>
      <c r="BP23" s="200">
        <v>11</v>
      </c>
      <c r="BQ23" s="200">
        <f>IF(ISERR(BO23),0,IF(BO23&lt;BP23,BO23-BP23,0))</f>
        <v>0</v>
      </c>
    </row>
    <row r="24" spans="1:69">
      <c r="A24" s="218" t="s">
        <v>100</v>
      </c>
      <c r="B24" s="218" t="s">
        <v>748</v>
      </c>
      <c r="C24" s="228" t="s">
        <v>680</v>
      </c>
      <c r="D24" s="219">
        <v>3</v>
      </c>
      <c r="E24" s="229">
        <v>0.54930555555555505</v>
      </c>
      <c r="F24" s="220">
        <v>0.58310185185185182</v>
      </c>
      <c r="G24" s="220">
        <v>0.6685416666666667</v>
      </c>
      <c r="H24" s="208">
        <f>F24-E24</f>
        <v>3.3796296296296768E-2</v>
      </c>
      <c r="I24" s="208">
        <f>H24-MIN(H$3:H$27)</f>
        <v>1.2974537037037548E-2</v>
      </c>
      <c r="J24" s="208">
        <f>G24-E24</f>
        <v>0.11923611111111165</v>
      </c>
      <c r="K24" s="220">
        <v>0.13194444444444445</v>
      </c>
      <c r="L24" s="220">
        <v>0.33819444444444446</v>
      </c>
      <c r="M24" s="220">
        <v>0.36719907407407404</v>
      </c>
      <c r="N24" s="220"/>
      <c r="O24" s="208">
        <f>M24-L24</f>
        <v>2.9004629629629575E-2</v>
      </c>
      <c r="P24" s="208">
        <f>O24-MIN(O$3:O$27)</f>
        <v>1.3113425925925903E-2</v>
      </c>
      <c r="Q24" s="208">
        <f>N24-L24</f>
        <v>-0.33819444444444446</v>
      </c>
      <c r="R24" s="220">
        <v>0.15972222222222224</v>
      </c>
      <c r="S24" s="221">
        <v>0.4</v>
      </c>
      <c r="T24" s="221">
        <v>0.6</v>
      </c>
      <c r="U24" s="221">
        <v>1</v>
      </c>
      <c r="V24" s="221">
        <v>1</v>
      </c>
      <c r="W24" s="238">
        <f>ROUND(MAX(W$2-I24*60*24*0.5+BC24,0),1)</f>
        <v>10.7</v>
      </c>
      <c r="X24" s="238">
        <f>ROUND(MAX(X$2-P24*60*24*0.5+BQ24,0),1)</f>
        <v>10.6</v>
      </c>
      <c r="Y24" s="238">
        <f>ROUND(MAX(MIN(Y$2+(K24-J24)*60*24*0.2,$Y$2),0),1)</f>
        <v>5</v>
      </c>
      <c r="Z24" s="238">
        <f>ROUND(MAX(MIN($Z$2+(R24-Q24)*60*24*0.2,$Z$2),0),1)</f>
        <v>5</v>
      </c>
      <c r="AA24" s="221">
        <v>0.6</v>
      </c>
      <c r="AB24" s="221">
        <v>3.4</v>
      </c>
      <c r="AC24" s="221">
        <v>2.1</v>
      </c>
      <c r="AD24" s="221">
        <v>0</v>
      </c>
      <c r="AE24" s="221">
        <v>1.4</v>
      </c>
      <c r="AF24" s="238">
        <f>SUM(S24:T24)</f>
        <v>1</v>
      </c>
      <c r="AG24" s="238">
        <f>SUM(U24:V24)</f>
        <v>2</v>
      </c>
      <c r="AH24" s="221">
        <v>2.8</v>
      </c>
      <c r="AI24" s="221">
        <v>5</v>
      </c>
      <c r="AJ24" s="221">
        <v>4</v>
      </c>
      <c r="AK24" s="221">
        <v>5</v>
      </c>
      <c r="AL24" s="238">
        <f>SUM(W24:AK24)</f>
        <v>58.599999999999994</v>
      </c>
      <c r="AM24" s="243">
        <f>RANK(AL24,$AL$11:$AL$27)</f>
        <v>14</v>
      </c>
      <c r="AN24" s="218"/>
      <c r="AO24" s="243">
        <f>RANK(I24,$I$11:$I$27,1)</f>
        <v>15</v>
      </c>
      <c r="AP24" s="196">
        <v>13.45</v>
      </c>
      <c r="AQ24" s="196">
        <v>15.75</v>
      </c>
      <c r="AR24" s="196">
        <v>15.3</v>
      </c>
      <c r="AS24" s="196"/>
      <c r="AT24" s="196"/>
      <c r="AU24" s="197">
        <f>AVERAGE(AP24:AT24)</f>
        <v>14.833333333333334</v>
      </c>
      <c r="AV24" s="196">
        <v>13.05</v>
      </c>
      <c r="AW24" s="196">
        <v>15.75</v>
      </c>
      <c r="AX24" s="196">
        <v>15.1</v>
      </c>
      <c r="AY24" s="196"/>
      <c r="BA24" s="199">
        <f>AVERAGE(AV24:AY24)</f>
        <v>14.633333333333333</v>
      </c>
      <c r="BB24" s="200">
        <v>12</v>
      </c>
      <c r="BC24" s="200">
        <f>IF(ISERR(BA24),0,IF(BA24&lt;BB24,BA24-BB24,0))</f>
        <v>0</v>
      </c>
      <c r="BD24" s="196">
        <v>14.55</v>
      </c>
      <c r="BE24" s="196">
        <v>14.75</v>
      </c>
      <c r="BF24" s="196">
        <v>15.05</v>
      </c>
      <c r="BG24" s="196"/>
      <c r="BI24" s="199">
        <f>AVERAGE(BD24:BG24)</f>
        <v>14.783333333333333</v>
      </c>
      <c r="BJ24" s="196">
        <v>14.2</v>
      </c>
      <c r="BK24" s="196">
        <v>13.8</v>
      </c>
      <c r="BL24" s="196">
        <v>14.7</v>
      </c>
      <c r="BM24" s="196"/>
      <c r="BN24" s="196"/>
      <c r="BO24" s="199">
        <f>AVERAGE(BJ24:BM24)</f>
        <v>14.233333333333334</v>
      </c>
      <c r="BP24" s="200">
        <v>11</v>
      </c>
      <c r="BQ24" s="200">
        <f>IF(ISERR(BO24),0,IF(BO24&lt;BP24,BO24-BP24,0))</f>
        <v>0</v>
      </c>
    </row>
    <row r="25" spans="1:69">
      <c r="A25" s="218" t="s">
        <v>100</v>
      </c>
      <c r="B25" s="218" t="s">
        <v>718</v>
      </c>
      <c r="C25" s="228" t="s">
        <v>722</v>
      </c>
      <c r="D25" s="219">
        <v>5</v>
      </c>
      <c r="E25" s="220">
        <v>0.54999999999999905</v>
      </c>
      <c r="F25" s="220">
        <v>0.5803356481481482</v>
      </c>
      <c r="G25" s="220">
        <v>0.67064814814814822</v>
      </c>
      <c r="H25" s="208">
        <f>F25-E25</f>
        <v>3.0335648148149152E-2</v>
      </c>
      <c r="I25" s="208">
        <f>H25-MIN(H$3:H$27)</f>
        <v>9.513888888889932E-3</v>
      </c>
      <c r="J25" s="208">
        <f>G25-E25</f>
        <v>0.12064814814814917</v>
      </c>
      <c r="K25" s="220">
        <v>0.13194444444444445</v>
      </c>
      <c r="L25" s="220">
        <v>0.3347222222222222</v>
      </c>
      <c r="M25" s="220">
        <v>0.3580787037037037</v>
      </c>
      <c r="N25" s="220"/>
      <c r="O25" s="208">
        <f>M25-L25</f>
        <v>2.3356481481481506E-2</v>
      </c>
      <c r="P25" s="208">
        <f>O25-MIN(O$3:O$27)</f>
        <v>7.4652777777778345E-3</v>
      </c>
      <c r="Q25" s="208">
        <f>N25-L25</f>
        <v>-0.3347222222222222</v>
      </c>
      <c r="R25" s="220">
        <v>0.15972222222222224</v>
      </c>
      <c r="S25" s="221">
        <v>0.8</v>
      </c>
      <c r="T25" s="221">
        <v>0.6</v>
      </c>
      <c r="U25" s="221">
        <v>4</v>
      </c>
      <c r="V25" s="221">
        <v>4</v>
      </c>
      <c r="W25" s="238">
        <f>ROUND(MAX(W$2-I25*60*24*0.5+BC25,0),1)</f>
        <v>13.1</v>
      </c>
      <c r="X25" s="238">
        <f>ROUND(MAX(X$2-P25*60*24*0.5+BQ25,0),1)</f>
        <v>14.6</v>
      </c>
      <c r="Y25" s="238">
        <f>ROUND(MAX(MIN(Y$2+(K25-J25)*60*24*0.2,$Y$2),0),1)</f>
        <v>5</v>
      </c>
      <c r="Z25" s="238">
        <f>ROUND(MAX(MIN($Z$2+(R25-Q25)*60*24*0.2,$Z$2),0),1)</f>
        <v>5</v>
      </c>
      <c r="AA25" s="221">
        <v>2.5</v>
      </c>
      <c r="AB25" s="221">
        <v>3.2</v>
      </c>
      <c r="AC25" s="221">
        <v>3.7</v>
      </c>
      <c r="AD25" s="221">
        <v>2.8</v>
      </c>
      <c r="AE25" s="221">
        <v>1.8</v>
      </c>
      <c r="AF25" s="238">
        <f>SUM(S25:T25)</f>
        <v>1.4</v>
      </c>
      <c r="AG25" s="238">
        <f>SUM(U25:V25)</f>
        <v>8</v>
      </c>
      <c r="AH25" s="221">
        <v>4.0999999999999996</v>
      </c>
      <c r="AI25" s="221">
        <v>4</v>
      </c>
      <c r="AJ25" s="221">
        <v>5</v>
      </c>
      <c r="AK25" s="221">
        <v>5</v>
      </c>
      <c r="AL25" s="238">
        <f>SUM(W25:AK25)</f>
        <v>79.2</v>
      </c>
      <c r="AM25" s="243">
        <f>RANK(AL25,$AL$11:$AL$27)</f>
        <v>8</v>
      </c>
      <c r="AN25" s="218"/>
      <c r="AO25" s="243">
        <f>RANK(I25,$I$11:$I$27,1)</f>
        <v>10</v>
      </c>
      <c r="AP25" s="196">
        <v>13.85</v>
      </c>
      <c r="AQ25" s="196">
        <v>13.2</v>
      </c>
      <c r="AR25" s="196">
        <v>13.9</v>
      </c>
      <c r="AS25" s="196">
        <v>11.45</v>
      </c>
      <c r="AT25" s="196">
        <v>11.7</v>
      </c>
      <c r="AU25" s="197">
        <f>AVERAGE(AP25:AT25)</f>
        <v>12.819999999999999</v>
      </c>
      <c r="AV25" s="196">
        <v>13.65</v>
      </c>
      <c r="AW25" s="196">
        <v>13.25</v>
      </c>
      <c r="AX25" s="196">
        <v>13.9</v>
      </c>
      <c r="AY25" s="196">
        <v>11.45</v>
      </c>
      <c r="AZ25" s="196">
        <v>11.8</v>
      </c>
      <c r="BA25" s="199">
        <f>AVERAGE(AV25:AZ25)</f>
        <v>12.809999999999999</v>
      </c>
      <c r="BB25" s="200">
        <v>12</v>
      </c>
      <c r="BC25" s="200">
        <f>IF(ISERR(BA25),0,IF(BA25&lt;BB25,BA25-BB25,0))</f>
        <v>0</v>
      </c>
      <c r="BD25" s="196">
        <v>13.5</v>
      </c>
      <c r="BE25" s="196">
        <v>15.5</v>
      </c>
      <c r="BF25" s="196">
        <v>11.15</v>
      </c>
      <c r="BG25" s="196">
        <v>11.95</v>
      </c>
      <c r="BH25" s="196">
        <v>13.55</v>
      </c>
      <c r="BI25" s="199">
        <f>AVERAGE(BD25:BH25)</f>
        <v>13.129999999999999</v>
      </c>
      <c r="BJ25" s="196">
        <v>15.2</v>
      </c>
      <c r="BK25" s="196">
        <v>13.2</v>
      </c>
      <c r="BL25" s="196">
        <v>13.4</v>
      </c>
      <c r="BM25" s="196">
        <v>11.8</v>
      </c>
      <c r="BN25" s="196">
        <v>11</v>
      </c>
      <c r="BO25" s="199">
        <f>AVERAGE(BJ25:BN25)</f>
        <v>12.919999999999998</v>
      </c>
      <c r="BP25" s="200">
        <v>11</v>
      </c>
      <c r="BQ25" s="200">
        <f>IF(ISERR(BO25),0,IF(BO25&lt;BP25,BO25-BP25,0))</f>
        <v>0</v>
      </c>
    </row>
    <row r="26" spans="1:69">
      <c r="A26" s="290" t="s">
        <v>100</v>
      </c>
      <c r="B26" s="218" t="s">
        <v>749</v>
      </c>
      <c r="C26" s="228" t="s">
        <v>723</v>
      </c>
      <c r="D26" s="219">
        <v>5</v>
      </c>
      <c r="E26" s="229">
        <v>0.55069444444444304</v>
      </c>
      <c r="F26" s="220">
        <v>0.57895833333333335</v>
      </c>
      <c r="G26" s="220">
        <v>0.67318287037037028</v>
      </c>
      <c r="H26" s="208">
        <f>F26-E26</f>
        <v>2.8263888888890309E-2</v>
      </c>
      <c r="I26" s="208">
        <f>H26-MIN(H$3:H$27)</f>
        <v>7.442129629631089E-3</v>
      </c>
      <c r="J26" s="208">
        <f>G26-E26</f>
        <v>0.12248842592592724</v>
      </c>
      <c r="K26" s="220">
        <v>0.13194444444444445</v>
      </c>
      <c r="L26" s="220">
        <v>0.33124999999999999</v>
      </c>
      <c r="M26" s="220">
        <v>0.35196759259259264</v>
      </c>
      <c r="N26" s="220"/>
      <c r="O26" s="208">
        <f>M26-L26</f>
        <v>2.0717592592592649E-2</v>
      </c>
      <c r="P26" s="208">
        <f>O26-MIN(O$3:O$27)</f>
        <v>4.8263888888889772E-3</v>
      </c>
      <c r="Q26" s="208">
        <f>N26-L26</f>
        <v>-0.33124999999999999</v>
      </c>
      <c r="R26" s="220">
        <v>0.15972222222222224</v>
      </c>
      <c r="S26" s="221">
        <v>1</v>
      </c>
      <c r="T26" s="221">
        <v>0.6</v>
      </c>
      <c r="U26" s="221">
        <v>5</v>
      </c>
      <c r="V26" s="221">
        <v>4</v>
      </c>
      <c r="W26" s="238">
        <f>ROUND(MAX(W$2-I26*60*24*0.5+BC26,0),1)</f>
        <v>14.6</v>
      </c>
      <c r="X26" s="238">
        <f>ROUND(MAX(X$2-P26*60*24*0.5+BQ26,0),1)</f>
        <v>16.5</v>
      </c>
      <c r="Y26" s="238">
        <f>ROUND(MAX(MIN(Y$2+(K26-J26)*60*24*0.2,$Y$2),0),1)</f>
        <v>5</v>
      </c>
      <c r="Z26" s="238">
        <f>ROUND(MAX(MIN($Z$2+(R26-Q26)*60*24*0.2,$Z$2),0),1)</f>
        <v>5</v>
      </c>
      <c r="AA26" s="221">
        <v>3.9</v>
      </c>
      <c r="AB26" s="221">
        <v>3.4</v>
      </c>
      <c r="AC26" s="221">
        <v>3.5</v>
      </c>
      <c r="AD26" s="221">
        <v>3.1</v>
      </c>
      <c r="AE26" s="221">
        <v>2</v>
      </c>
      <c r="AF26" s="238">
        <f>SUM(S26:T26)</f>
        <v>1.6</v>
      </c>
      <c r="AG26" s="238">
        <f>SUM(U26:V26)</f>
        <v>9</v>
      </c>
      <c r="AH26" s="221">
        <v>5</v>
      </c>
      <c r="AI26" s="221">
        <v>5</v>
      </c>
      <c r="AJ26" s="221">
        <v>5</v>
      </c>
      <c r="AK26" s="221">
        <v>5</v>
      </c>
      <c r="AL26" s="238"/>
      <c r="AM26" s="243"/>
      <c r="AN26" s="218" t="s">
        <v>762</v>
      </c>
      <c r="AO26" s="243">
        <f>RANK(I26,$I$11:$I$27,1)</f>
        <v>5</v>
      </c>
      <c r="AP26" s="196">
        <v>14.75</v>
      </c>
      <c r="AQ26" s="196">
        <v>7.35</v>
      </c>
      <c r="AR26" s="196">
        <v>13.7</v>
      </c>
      <c r="AS26" s="196">
        <v>12.75</v>
      </c>
      <c r="AT26" s="196">
        <v>12.85</v>
      </c>
      <c r="AU26" s="197">
        <f>AVERAGE(AP26:AT26)</f>
        <v>12.28</v>
      </c>
      <c r="AV26" s="196">
        <v>14.65</v>
      </c>
      <c r="AW26" s="196">
        <v>7.25</v>
      </c>
      <c r="AX26" s="196">
        <v>13.7</v>
      </c>
      <c r="AY26" s="196">
        <v>12.9</v>
      </c>
      <c r="AZ26" s="196">
        <v>12.9</v>
      </c>
      <c r="BA26" s="199">
        <f>AVERAGE(AV26:AZ26)</f>
        <v>12.279999999999998</v>
      </c>
      <c r="BB26" s="200">
        <v>12</v>
      </c>
      <c r="BC26" s="200">
        <f>IF(ISERR(BA26),0,IF(BA26&lt;BB26,BA26-BB26,0))</f>
        <v>0</v>
      </c>
      <c r="BD26" s="196">
        <v>12.2</v>
      </c>
      <c r="BE26" s="196">
        <v>11.3</v>
      </c>
      <c r="BF26" s="196">
        <v>11.55</v>
      </c>
      <c r="BG26" s="196">
        <v>12.05</v>
      </c>
      <c r="BI26" s="199">
        <f>AVERAGE(BD26:BG26)</f>
        <v>11.774999999999999</v>
      </c>
      <c r="BJ26" s="196">
        <v>12</v>
      </c>
      <c r="BK26" s="196">
        <v>12.1</v>
      </c>
      <c r="BL26" s="196">
        <v>11.1</v>
      </c>
      <c r="BM26" s="196">
        <v>12</v>
      </c>
      <c r="BN26" s="196"/>
      <c r="BO26" s="199">
        <f>AVERAGE(BJ26:BM26)</f>
        <v>11.8</v>
      </c>
      <c r="BP26" s="200">
        <v>11</v>
      </c>
      <c r="BQ26" s="200">
        <f>IF(ISERR(BO26),0,IF(BO26&lt;BP26,BO26-BP26,0))</f>
        <v>0</v>
      </c>
    </row>
    <row r="27" spans="1:69" ht="14.25" thickBot="1">
      <c r="A27" s="269" t="s">
        <v>100</v>
      </c>
      <c r="B27" s="269" t="s">
        <v>179</v>
      </c>
      <c r="C27" s="270" t="s">
        <v>671</v>
      </c>
      <c r="D27" s="270">
        <v>4</v>
      </c>
      <c r="E27" s="271"/>
      <c r="F27" s="271"/>
      <c r="G27" s="271"/>
      <c r="H27" s="272"/>
      <c r="I27" s="272"/>
      <c r="J27" s="272"/>
      <c r="K27" s="271"/>
      <c r="L27" s="271"/>
      <c r="M27" s="271"/>
      <c r="N27" s="271"/>
      <c r="O27" s="272"/>
      <c r="P27" s="272"/>
      <c r="Q27" s="272"/>
      <c r="R27" s="271"/>
      <c r="S27" s="273"/>
      <c r="T27" s="273"/>
      <c r="U27" s="273"/>
      <c r="V27" s="273"/>
      <c r="W27" s="274"/>
      <c r="X27" s="274"/>
      <c r="Y27" s="274"/>
      <c r="Z27" s="274"/>
      <c r="AA27" s="273"/>
      <c r="AB27" s="273"/>
      <c r="AC27" s="273"/>
      <c r="AD27" s="273"/>
      <c r="AE27" s="273"/>
      <c r="AF27" s="274"/>
      <c r="AG27" s="274"/>
      <c r="AH27" s="273"/>
      <c r="AI27" s="273"/>
      <c r="AJ27" s="273"/>
      <c r="AK27" s="273"/>
      <c r="AL27" s="274"/>
      <c r="AM27" s="275"/>
      <c r="AN27" s="269"/>
      <c r="AO27" s="243"/>
      <c r="AP27" s="196"/>
      <c r="AQ27" s="196"/>
      <c r="AR27" s="196"/>
      <c r="AS27" s="196"/>
      <c r="AT27" s="196"/>
      <c r="AU27" s="197" t="e">
        <f>AVERAGE(AP27:AT27)</f>
        <v>#DIV/0!</v>
      </c>
      <c r="AV27" s="196"/>
      <c r="AW27" s="196"/>
      <c r="AX27" s="196"/>
      <c r="AY27" s="196"/>
      <c r="BA27" s="199" t="e">
        <f>AVERAGE(AV27:AY27)</f>
        <v>#DIV/0!</v>
      </c>
      <c r="BB27" s="200">
        <v>12</v>
      </c>
      <c r="BC27" s="200">
        <f>IF(ISERR(BA27),0,IF(BA27&lt;BB27,BA27-BB27,0))</f>
        <v>0</v>
      </c>
      <c r="BD27" s="196"/>
      <c r="BE27" s="196"/>
      <c r="BF27" s="196"/>
      <c r="BG27" s="196"/>
      <c r="BI27" s="199" t="e">
        <f>AVERAGE(BD27:BG27)</f>
        <v>#DIV/0!</v>
      </c>
      <c r="BJ27" s="196"/>
      <c r="BK27" s="196"/>
      <c r="BL27" s="196"/>
      <c r="BM27" s="196"/>
      <c r="BN27" s="196"/>
      <c r="BO27" s="199" t="e">
        <f>AVERAGE(BJ27:BM27)</f>
        <v>#DIV/0!</v>
      </c>
      <c r="BP27" s="200">
        <v>11</v>
      </c>
      <c r="BQ27" s="200">
        <f>IF(ISERR(BO27),0,IF(BO27&lt;BP27,BO27-BP27,0))</f>
        <v>0</v>
      </c>
    </row>
    <row r="28" spans="1:69" ht="14.25" thickTop="1">
      <c r="A28" s="227" t="s">
        <v>725</v>
      </c>
      <c r="B28" s="227" t="s">
        <v>179</v>
      </c>
      <c r="C28" s="228" t="s">
        <v>269</v>
      </c>
      <c r="D28" s="228">
        <v>4</v>
      </c>
      <c r="E28" s="229">
        <v>0.55138888888888704</v>
      </c>
      <c r="F28" s="229">
        <v>0.58359953703703704</v>
      </c>
      <c r="G28" s="229">
        <v>0.6958333333333333</v>
      </c>
      <c r="H28" s="210">
        <f>F28-E28</f>
        <v>3.2210648148150001E-2</v>
      </c>
      <c r="I28" s="210">
        <f>H28-MIN(H$28:H$38)</f>
        <v>0</v>
      </c>
      <c r="J28" s="210">
        <f>G28-E28</f>
        <v>0.14444444444444626</v>
      </c>
      <c r="K28" s="229">
        <v>0.14583333333333334</v>
      </c>
      <c r="L28" s="229">
        <v>0.33958333333333335</v>
      </c>
      <c r="M28" s="229">
        <v>0.36376157407407406</v>
      </c>
      <c r="N28" s="229"/>
      <c r="O28" s="210">
        <f>M28-L28</f>
        <v>2.4178240740740709E-2</v>
      </c>
      <c r="P28" s="210">
        <f>O28-MIN(O$28:O$38)</f>
        <v>1.5046296296283845E-4</v>
      </c>
      <c r="Q28" s="210">
        <f>N28-L28</f>
        <v>-0.33958333333333335</v>
      </c>
      <c r="R28" s="229">
        <v>0.16666666666666666</v>
      </c>
      <c r="S28" s="230">
        <v>1</v>
      </c>
      <c r="T28" s="230">
        <v>1</v>
      </c>
      <c r="U28" s="230">
        <v>5</v>
      </c>
      <c r="V28" s="230">
        <v>4</v>
      </c>
      <c r="W28" s="240">
        <f>ROUND(MAX(W$2-I28*60*24*0.5+BC28,0),1)</f>
        <v>20</v>
      </c>
      <c r="X28" s="240">
        <f>ROUND(MAX(X$2-P28*60*24*0.5+BQ28,0),1)</f>
        <v>19.899999999999999</v>
      </c>
      <c r="Y28" s="240">
        <f>ROUND(MAX(MIN(Y$2+(K28-J28)*60*24*0.2,$Y$2),0),1)</f>
        <v>5</v>
      </c>
      <c r="Z28" s="240">
        <f>ROUND(MAX(MIN($Z$2+(R28-Q28)*60*24*0.2,$Z$2),0),1)</f>
        <v>5</v>
      </c>
      <c r="AA28" s="230">
        <v>3.4</v>
      </c>
      <c r="AB28" s="230">
        <v>4</v>
      </c>
      <c r="AC28" s="230">
        <v>3.9</v>
      </c>
      <c r="AD28" s="230">
        <v>3.8</v>
      </c>
      <c r="AE28" s="230">
        <v>2</v>
      </c>
      <c r="AF28" s="240">
        <f>SUM(S28:T28)</f>
        <v>2</v>
      </c>
      <c r="AG28" s="240">
        <f>SUM(U28:V28)</f>
        <v>9</v>
      </c>
      <c r="AH28" s="230">
        <v>5</v>
      </c>
      <c r="AI28" s="230">
        <v>5</v>
      </c>
      <c r="AJ28" s="230">
        <v>5</v>
      </c>
      <c r="AK28" s="230">
        <v>5</v>
      </c>
      <c r="AL28" s="240">
        <f>SUM(W28:AK28)</f>
        <v>98</v>
      </c>
      <c r="AM28" s="266">
        <f>RANK(AL28,$AL$28:$AL$31)</f>
        <v>1</v>
      </c>
      <c r="AN28" s="227"/>
      <c r="AO28" s="266">
        <f>RANK(I28,$I$28:$I$31,1)</f>
        <v>1</v>
      </c>
      <c r="AP28" s="196">
        <v>13.55</v>
      </c>
      <c r="AQ28" s="196">
        <v>12.45</v>
      </c>
      <c r="AR28" s="196">
        <v>12.2</v>
      </c>
      <c r="AS28" s="196">
        <v>11.65</v>
      </c>
      <c r="AT28" s="196"/>
      <c r="AU28" s="197">
        <f>AVERAGE(AP28:AT28)</f>
        <v>12.4625</v>
      </c>
      <c r="AV28" s="196">
        <v>12.25</v>
      </c>
      <c r="AW28" s="196">
        <v>13.05</v>
      </c>
      <c r="AX28" s="196">
        <v>12.15</v>
      </c>
      <c r="AY28" s="196">
        <v>11.65</v>
      </c>
      <c r="BA28" s="199">
        <f>AVERAGE(AV28:AY28)</f>
        <v>12.275</v>
      </c>
      <c r="BB28" s="200">
        <v>12</v>
      </c>
      <c r="BC28" s="200">
        <f>IF(ISERR(BA28),0,IF(BA28&lt;BB28,BA28-BB28,0))</f>
        <v>0</v>
      </c>
      <c r="BD28" s="196">
        <v>11.7</v>
      </c>
      <c r="BE28" s="196">
        <v>10.85</v>
      </c>
      <c r="BF28" s="196">
        <v>10.75</v>
      </c>
      <c r="BG28" s="196">
        <v>12.1</v>
      </c>
      <c r="BI28" s="199">
        <f>AVERAGE(BD28:BG28)</f>
        <v>11.35</v>
      </c>
      <c r="BJ28" s="196">
        <v>11.6</v>
      </c>
      <c r="BK28" s="196">
        <v>12.2</v>
      </c>
      <c r="BL28" s="196">
        <v>11</v>
      </c>
      <c r="BM28" s="196">
        <v>10.8</v>
      </c>
      <c r="BN28" s="196"/>
      <c r="BO28" s="199">
        <f>AVERAGE(BJ28:BM28)</f>
        <v>11.399999999999999</v>
      </c>
      <c r="BP28" s="200">
        <v>11</v>
      </c>
      <c r="BQ28" s="200">
        <f>IF(ISERR(BO28),0,IF(BO28&lt;BP28,BO28-BP28,0))</f>
        <v>0</v>
      </c>
    </row>
    <row r="29" spans="1:69">
      <c r="A29" s="218" t="s">
        <v>725</v>
      </c>
      <c r="B29" s="218" t="s">
        <v>182</v>
      </c>
      <c r="C29" s="219" t="s">
        <v>270</v>
      </c>
      <c r="D29" s="219">
        <v>4</v>
      </c>
      <c r="E29" s="220">
        <v>0.55208333333333104</v>
      </c>
      <c r="F29" s="220">
        <v>0.60625000000000007</v>
      </c>
      <c r="G29" s="220">
        <v>0.69125000000000003</v>
      </c>
      <c r="H29" s="208">
        <f>F29-E29</f>
        <v>5.4166666666669028E-2</v>
      </c>
      <c r="I29" s="208">
        <f>H29-MIN(H$28:H$38)</f>
        <v>2.1956018518519027E-2</v>
      </c>
      <c r="J29" s="208">
        <f>G29-E29</f>
        <v>0.13916666666666899</v>
      </c>
      <c r="K29" s="220">
        <v>0.14583333333333334</v>
      </c>
      <c r="L29" s="220">
        <v>0.34166666666666662</v>
      </c>
      <c r="M29" s="220">
        <v>0.37372685185185189</v>
      </c>
      <c r="N29" s="220"/>
      <c r="O29" s="208">
        <f>M29-L29</f>
        <v>3.2060185185185275E-2</v>
      </c>
      <c r="P29" s="208">
        <f>O29-MIN(O$28:O$38)</f>
        <v>8.0324074074074048E-3</v>
      </c>
      <c r="Q29" s="208">
        <f>N29-L29</f>
        <v>-0.34166666666666662</v>
      </c>
      <c r="R29" s="220">
        <v>0.16666666666666666</v>
      </c>
      <c r="S29" s="221">
        <v>0.8</v>
      </c>
      <c r="T29" s="221">
        <v>1</v>
      </c>
      <c r="U29" s="221">
        <v>3</v>
      </c>
      <c r="V29" s="221">
        <v>4</v>
      </c>
      <c r="W29" s="238">
        <f>ROUND(MAX(W$2-I29*60*24*0.5+BC29,0),1)</f>
        <v>4.2</v>
      </c>
      <c r="X29" s="238">
        <f>ROUND(MAX(X$2-P29*60*24*0.5+BQ29,0),1)</f>
        <v>14.2</v>
      </c>
      <c r="Y29" s="238">
        <f>ROUND(MAX(MIN(Y$2+(K29-J29)*60*24*0.2,$Y$2),0),1)</f>
        <v>5</v>
      </c>
      <c r="Z29" s="238">
        <f>ROUND(MAX(MIN($Z$2+(R29-Q29)*60*24*0.2,$Z$2),0),1)</f>
        <v>5</v>
      </c>
      <c r="AA29" s="221">
        <v>1.5</v>
      </c>
      <c r="AB29" s="221">
        <v>3</v>
      </c>
      <c r="AC29" s="221">
        <v>2.9</v>
      </c>
      <c r="AD29" s="221">
        <v>2.5</v>
      </c>
      <c r="AE29" s="221">
        <v>1.8</v>
      </c>
      <c r="AF29" s="238">
        <f>SUM(S29:T29)</f>
        <v>1.8</v>
      </c>
      <c r="AG29" s="238">
        <f>SUM(U29:V29)</f>
        <v>7</v>
      </c>
      <c r="AH29" s="221">
        <v>5</v>
      </c>
      <c r="AI29" s="221">
        <v>5</v>
      </c>
      <c r="AJ29" s="221">
        <v>5</v>
      </c>
      <c r="AK29" s="221">
        <v>5</v>
      </c>
      <c r="AL29" s="238">
        <f>SUM(W29:AK29)</f>
        <v>68.899999999999991</v>
      </c>
      <c r="AM29" s="267">
        <f>RANK(AL29,$AL$28:$AL$31)</f>
        <v>4</v>
      </c>
      <c r="AN29" s="218"/>
      <c r="AO29" s="267">
        <f>RANK(I29,$I$28:$I$31,1)</f>
        <v>4</v>
      </c>
      <c r="AP29" s="196">
        <v>13.95</v>
      </c>
      <c r="AQ29" s="196">
        <v>10.55</v>
      </c>
      <c r="AR29" s="196">
        <v>11.5</v>
      </c>
      <c r="AS29" s="196">
        <v>13.65</v>
      </c>
      <c r="AT29" s="196"/>
      <c r="AU29" s="197">
        <f>AVERAGE(AP29:AT29)</f>
        <v>12.4125</v>
      </c>
      <c r="AV29" s="196">
        <v>13.75</v>
      </c>
      <c r="AW29" s="196">
        <v>10.7</v>
      </c>
      <c r="AX29" s="196">
        <v>7.35</v>
      </c>
      <c r="AY29" s="196">
        <v>17.149999999999999</v>
      </c>
      <c r="BA29" s="199">
        <f>AVERAGE(AV29:AY29)</f>
        <v>12.237499999999999</v>
      </c>
      <c r="BB29" s="200">
        <v>12</v>
      </c>
      <c r="BC29" s="200">
        <f>IF(ISERR(BA29),0,IF(BA29&lt;BB29,BA29-BB29,0))</f>
        <v>0</v>
      </c>
      <c r="BD29" s="196">
        <v>13.05</v>
      </c>
      <c r="BE29" s="196">
        <v>10.35</v>
      </c>
      <c r="BF29" s="196">
        <v>10.95</v>
      </c>
      <c r="BG29" s="196">
        <v>13.1</v>
      </c>
      <c r="BI29" s="199">
        <f>AVERAGE(BD29:BG29)</f>
        <v>11.862499999999999</v>
      </c>
      <c r="BJ29" s="196">
        <v>15.8</v>
      </c>
      <c r="BK29" s="196">
        <v>10</v>
      </c>
      <c r="BL29" s="196">
        <v>8.8000000000000007</v>
      </c>
      <c r="BM29" s="196">
        <v>13</v>
      </c>
      <c r="BN29" s="196"/>
      <c r="BO29" s="199">
        <f>AVERAGE(BJ29:BM29)</f>
        <v>11.9</v>
      </c>
      <c r="BP29" s="200">
        <v>11</v>
      </c>
      <c r="BQ29" s="200">
        <f>IF(ISERR(BO29),0,IF(BO29&lt;BP29,BO29-BP29,0))</f>
        <v>0</v>
      </c>
    </row>
    <row r="30" spans="1:69">
      <c r="A30" s="218" t="s">
        <v>725</v>
      </c>
      <c r="B30" s="219" t="s">
        <v>728</v>
      </c>
      <c r="C30" s="219" t="s">
        <v>271</v>
      </c>
      <c r="D30" s="219">
        <v>4</v>
      </c>
      <c r="E30" s="229">
        <v>0.55277777777777504</v>
      </c>
      <c r="F30" s="220">
        <v>0.59457175925925931</v>
      </c>
      <c r="G30" s="220">
        <v>0.69252314814814808</v>
      </c>
      <c r="H30" s="208">
        <f>F30-E30</f>
        <v>4.1793981481484277E-2</v>
      </c>
      <c r="I30" s="208">
        <f>H30-MIN(H$28:H$38)</f>
        <v>9.5833333333342763E-3</v>
      </c>
      <c r="J30" s="208">
        <f>G30-E30</f>
        <v>0.13974537037037305</v>
      </c>
      <c r="K30" s="220">
        <v>0.14583333333333334</v>
      </c>
      <c r="L30" s="220">
        <v>0.34097222222222223</v>
      </c>
      <c r="M30" s="220">
        <v>0.3697685185185185</v>
      </c>
      <c r="N30" s="220"/>
      <c r="O30" s="208">
        <f>M30-L30</f>
        <v>2.8796296296296264E-2</v>
      </c>
      <c r="P30" s="208">
        <f>O30-MIN(O$28:O$38)</f>
        <v>4.7685185185183943E-3</v>
      </c>
      <c r="Q30" s="208">
        <f>N30-L30</f>
        <v>-0.34097222222222223</v>
      </c>
      <c r="R30" s="220">
        <v>0.16666666666666666</v>
      </c>
      <c r="S30" s="221">
        <v>0.8</v>
      </c>
      <c r="T30" s="221">
        <v>1</v>
      </c>
      <c r="U30" s="221">
        <v>2</v>
      </c>
      <c r="V30" s="221">
        <v>4</v>
      </c>
      <c r="W30" s="238">
        <f>ROUND(MAX(W$2-I30*60*24*0.5+BC30,0),1)</f>
        <v>13.1</v>
      </c>
      <c r="X30" s="238">
        <f>ROUND(MAX(X$2-P30*60*24*0.5+BQ30,0),1)</f>
        <v>16.600000000000001</v>
      </c>
      <c r="Y30" s="238">
        <f>ROUND(MAX(MIN(Y$2+(K30-J30)*60*24*0.2,$Y$2),0),1)</f>
        <v>5</v>
      </c>
      <c r="Z30" s="238">
        <f>ROUND(MAX(MIN($Z$2+(R30-Q30)*60*24*0.2,$Z$2),0),1)</f>
        <v>5</v>
      </c>
      <c r="AA30" s="221">
        <v>3.3</v>
      </c>
      <c r="AB30" s="221">
        <v>3.4</v>
      </c>
      <c r="AC30" s="221">
        <v>2.7</v>
      </c>
      <c r="AD30" s="221">
        <v>2.8</v>
      </c>
      <c r="AE30" s="221">
        <v>1.6</v>
      </c>
      <c r="AF30" s="238">
        <f>SUM(S30:T30)</f>
        <v>1.8</v>
      </c>
      <c r="AG30" s="238">
        <f>SUM(U30:V30)</f>
        <v>6</v>
      </c>
      <c r="AH30" s="221">
        <v>4.5</v>
      </c>
      <c r="AI30" s="221">
        <v>4.8</v>
      </c>
      <c r="AJ30" s="221">
        <v>5</v>
      </c>
      <c r="AK30" s="221">
        <v>5</v>
      </c>
      <c r="AL30" s="238">
        <f>SUM(W30:AK30)</f>
        <v>80.599999999999994</v>
      </c>
      <c r="AM30" s="267">
        <f>RANK(AL30,$AL$28:$AL$31)</f>
        <v>3</v>
      </c>
      <c r="AN30" s="218"/>
      <c r="AO30" s="267">
        <f>RANK(I30,$I$28:$I$31,1)</f>
        <v>3</v>
      </c>
      <c r="AP30" s="196">
        <v>12.8</v>
      </c>
      <c r="AQ30" s="196">
        <v>11.9</v>
      </c>
      <c r="AR30" s="196">
        <v>12.55</v>
      </c>
      <c r="AS30" s="196">
        <v>11.35</v>
      </c>
      <c r="AT30" s="196"/>
      <c r="AU30" s="197">
        <f>AVERAGE(AP30:AT30)</f>
        <v>12.15</v>
      </c>
      <c r="AV30" s="196">
        <v>11.8</v>
      </c>
      <c r="AW30" s="196">
        <v>12.55</v>
      </c>
      <c r="AX30" s="196">
        <v>12.35</v>
      </c>
      <c r="AY30" s="196">
        <v>11.2</v>
      </c>
      <c r="BA30" s="199">
        <f>AVERAGE(AV30:AY30)</f>
        <v>11.975000000000001</v>
      </c>
      <c r="BB30" s="200">
        <v>12</v>
      </c>
      <c r="BC30" s="200">
        <f>IF(ISERR(BA30),0,IF(BA30&lt;BB30,BA30-BB30,0))</f>
        <v>-2.4999999999998579E-2</v>
      </c>
      <c r="BD30" s="196">
        <v>11.4</v>
      </c>
      <c r="BE30" s="196">
        <v>11.6</v>
      </c>
      <c r="BF30" s="196">
        <v>11.45</v>
      </c>
      <c r="BG30" s="196">
        <v>11.15</v>
      </c>
      <c r="BI30" s="199">
        <f>AVERAGE(BD30:BG30)</f>
        <v>11.4</v>
      </c>
      <c r="BJ30" s="196">
        <v>11.2</v>
      </c>
      <c r="BK30" s="196">
        <v>11.4</v>
      </c>
      <c r="BL30" s="196">
        <v>11.2</v>
      </c>
      <c r="BM30" s="196">
        <v>11</v>
      </c>
      <c r="BN30" s="196"/>
      <c r="BO30" s="199">
        <f>AVERAGE(BJ30:BM30)</f>
        <v>11.2</v>
      </c>
      <c r="BP30" s="200">
        <v>11</v>
      </c>
      <c r="BQ30" s="200">
        <f>IF(ISERR(BO30),0,IF(BO30&lt;BP30,BO30-BP30,0))</f>
        <v>0</v>
      </c>
    </row>
    <row r="31" spans="1:69" ht="14.25" thickBot="1">
      <c r="A31" s="223" t="s">
        <v>725</v>
      </c>
      <c r="B31" s="223" t="s">
        <v>641</v>
      </c>
      <c r="C31" s="224" t="s">
        <v>272</v>
      </c>
      <c r="D31" s="224">
        <v>4</v>
      </c>
      <c r="E31" s="225">
        <v>0.55347222222221903</v>
      </c>
      <c r="F31" s="225">
        <v>0.58853009259259259</v>
      </c>
      <c r="G31" s="225">
        <v>0.69271990740740741</v>
      </c>
      <c r="H31" s="209">
        <f>F31-E31</f>
        <v>3.5057870370373556E-2</v>
      </c>
      <c r="I31" s="209">
        <f>H31-MIN(H$28:H$38)</f>
        <v>2.8472222222235555E-3</v>
      </c>
      <c r="J31" s="209">
        <f>G31-E31</f>
        <v>0.13924768518518837</v>
      </c>
      <c r="K31" s="225">
        <v>0.14583333333333334</v>
      </c>
      <c r="L31" s="225">
        <v>0.34027777777777773</v>
      </c>
      <c r="M31" s="225">
        <v>0.3643055555555556</v>
      </c>
      <c r="N31" s="225"/>
      <c r="O31" s="209">
        <f>M31-L31</f>
        <v>2.402777777777787E-2</v>
      </c>
      <c r="P31" s="209">
        <f>O31-MIN(O$28:O$38)</f>
        <v>0</v>
      </c>
      <c r="Q31" s="209">
        <f>N31-L31</f>
        <v>-0.34027777777777773</v>
      </c>
      <c r="R31" s="225">
        <v>0.16666666666666666</v>
      </c>
      <c r="S31" s="226">
        <v>0.5</v>
      </c>
      <c r="T31" s="226">
        <v>0.6</v>
      </c>
      <c r="U31" s="226">
        <v>6</v>
      </c>
      <c r="V31" s="226">
        <v>4</v>
      </c>
      <c r="W31" s="239">
        <f>ROUND(MAX(W$2-I31*60*24*0.5+BC31,0),1)</f>
        <v>17.899999999999999</v>
      </c>
      <c r="X31" s="239">
        <f>ROUND(MAX(X$2-P31*60*24*0.5+BQ31,0),1)</f>
        <v>20</v>
      </c>
      <c r="Y31" s="239">
        <f>ROUND(MAX(MIN(Y$2+(K31-J31)*60*24*0.2,$Y$2),0),1)</f>
        <v>5</v>
      </c>
      <c r="Z31" s="239">
        <f>ROUND(MAX(MIN($Z$2+(R31-Q31)*60*24*0.2,$Z$2),0),1)</f>
        <v>5</v>
      </c>
      <c r="AA31" s="226">
        <v>3.7</v>
      </c>
      <c r="AB31" s="226">
        <v>3.9</v>
      </c>
      <c r="AC31" s="226">
        <v>2.8</v>
      </c>
      <c r="AD31" s="226">
        <v>3.4</v>
      </c>
      <c r="AE31" s="226">
        <v>1.8</v>
      </c>
      <c r="AF31" s="239">
        <f>SUM(S31:T31)</f>
        <v>1.1000000000000001</v>
      </c>
      <c r="AG31" s="239">
        <f>SUM(U31:V31)</f>
        <v>10</v>
      </c>
      <c r="AH31" s="226">
        <v>5</v>
      </c>
      <c r="AI31" s="226">
        <v>5</v>
      </c>
      <c r="AJ31" s="226">
        <v>5</v>
      </c>
      <c r="AK31" s="226">
        <v>5</v>
      </c>
      <c r="AL31" s="239">
        <f>SUM(W31:AK31)</f>
        <v>94.6</v>
      </c>
      <c r="AM31" s="268">
        <f>RANK(AL31,$AL$28:$AL$31)</f>
        <v>2</v>
      </c>
      <c r="AN31" s="223"/>
      <c r="AO31" s="268">
        <f>RANK(I31,$I$28:$I$31,1)</f>
        <v>2</v>
      </c>
      <c r="AP31" s="196">
        <v>12.35</v>
      </c>
      <c r="AQ31" s="196">
        <v>12.5</v>
      </c>
      <c r="AR31" s="196">
        <v>12.55</v>
      </c>
      <c r="AS31" s="196">
        <v>12.75</v>
      </c>
      <c r="AT31" s="196"/>
      <c r="AU31" s="197">
        <f>AVERAGE(AP31:AT31)</f>
        <v>12.537500000000001</v>
      </c>
      <c r="AV31" s="196">
        <v>12.25</v>
      </c>
      <c r="AW31" s="196">
        <v>12.4</v>
      </c>
      <c r="AX31" s="196">
        <v>12.3</v>
      </c>
      <c r="AY31" s="196">
        <v>12.7</v>
      </c>
      <c r="BA31" s="199">
        <f>AVERAGE(AV31:AY31)</f>
        <v>12.412500000000001</v>
      </c>
      <c r="BB31" s="200">
        <v>12</v>
      </c>
      <c r="BC31" s="200">
        <f>IF(ISERR(BA31),0,IF(BA31&lt;BB31,BA31-BB31,0))</f>
        <v>0</v>
      </c>
      <c r="BD31" s="196">
        <v>11.1</v>
      </c>
      <c r="BE31" s="196">
        <v>11.65</v>
      </c>
      <c r="BF31" s="196">
        <v>11.6</v>
      </c>
      <c r="BG31" s="196">
        <v>11.15</v>
      </c>
      <c r="BI31" s="199">
        <f>AVERAGE(BD31:BG31)</f>
        <v>11.375</v>
      </c>
      <c r="BJ31" s="196">
        <v>11.2</v>
      </c>
      <c r="BK31" s="196">
        <v>11.6</v>
      </c>
      <c r="BL31" s="196">
        <v>11.2</v>
      </c>
      <c r="BM31" s="196">
        <v>11.6</v>
      </c>
      <c r="BN31" s="196"/>
      <c r="BO31" s="199">
        <f>AVERAGE(BJ31:BM31)</f>
        <v>11.4</v>
      </c>
      <c r="BP31" s="200">
        <v>11</v>
      </c>
      <c r="BQ31" s="200">
        <f>IF(ISERR(BO31),0,IF(BO31&lt;BP31,BO31-BP31,0))</f>
        <v>0</v>
      </c>
    </row>
    <row r="32" spans="1:69">
      <c r="A32" s="291" t="s">
        <v>726</v>
      </c>
      <c r="B32" s="227" t="s">
        <v>750</v>
      </c>
      <c r="C32" s="228" t="s">
        <v>277</v>
      </c>
      <c r="D32" s="228">
        <v>4</v>
      </c>
      <c r="E32" s="229">
        <v>0.55416666666666303</v>
      </c>
      <c r="F32" s="229">
        <v>0.5970833333333333</v>
      </c>
      <c r="G32" s="229">
        <v>0.69884259259259263</v>
      </c>
      <c r="H32" s="210">
        <f>F32-E32</f>
        <v>4.2916666666670267E-2</v>
      </c>
      <c r="I32" s="210">
        <f>H32-MIN(H$28:H$38)</f>
        <v>1.0706018518520266E-2</v>
      </c>
      <c r="J32" s="210">
        <f>G32-E32</f>
        <v>0.14467592592592959</v>
      </c>
      <c r="K32" s="229">
        <v>0.14583333333333334</v>
      </c>
      <c r="L32" s="229">
        <v>0.34513888888888888</v>
      </c>
      <c r="M32" s="229">
        <v>0.37442129629629628</v>
      </c>
      <c r="N32" s="229"/>
      <c r="O32" s="210">
        <f>M32-L32</f>
        <v>2.9282407407407396E-2</v>
      </c>
      <c r="P32" s="210">
        <f>O32-MIN(O$28:O$38)</f>
        <v>5.2546296296295258E-3</v>
      </c>
      <c r="Q32" s="210">
        <f>N32-L32</f>
        <v>-0.34513888888888888</v>
      </c>
      <c r="R32" s="229">
        <v>0.16666666666666666</v>
      </c>
      <c r="S32" s="230">
        <v>0.4</v>
      </c>
      <c r="T32" s="288">
        <v>0</v>
      </c>
      <c r="U32" s="230">
        <v>4</v>
      </c>
      <c r="V32" s="230">
        <v>0</v>
      </c>
      <c r="W32" s="240">
        <f>ROUND(MAX(W$2-I32*60*24*0.5+BC32,0),1)</f>
        <v>12.3</v>
      </c>
      <c r="X32" s="240">
        <f>ROUND(MAX(X$2-P32*60*24*0.5+BQ32,0),1)</f>
        <v>16.2</v>
      </c>
      <c r="Y32" s="240">
        <f>ROUND(MAX(MIN(Y$2+(K32-J32)*60*24*0.2,$Y$2),0),1)</f>
        <v>5</v>
      </c>
      <c r="Z32" s="240">
        <f>ROUND(MAX(MIN($Z$2+(R32-Q32)*60*24*0.2,$Z$2),0),1)</f>
        <v>5</v>
      </c>
      <c r="AA32" s="230">
        <v>3.1</v>
      </c>
      <c r="AB32" s="230">
        <v>2</v>
      </c>
      <c r="AC32" s="230">
        <v>4</v>
      </c>
      <c r="AD32" s="230">
        <v>3.4</v>
      </c>
      <c r="AE32" s="230">
        <v>1.8</v>
      </c>
      <c r="AF32" s="240">
        <f>SUM(S32:T32)</f>
        <v>0.4</v>
      </c>
      <c r="AG32" s="240">
        <f>SUM(U32:V32)</f>
        <v>4</v>
      </c>
      <c r="AH32" s="230">
        <v>5</v>
      </c>
      <c r="AI32" s="230">
        <v>5</v>
      </c>
      <c r="AJ32" s="230">
        <v>5</v>
      </c>
      <c r="AK32" s="289">
        <v>4</v>
      </c>
      <c r="AL32" s="240"/>
      <c r="AM32" s="266"/>
      <c r="AN32" s="227" t="s">
        <v>763</v>
      </c>
      <c r="AO32" s="266">
        <f>RANK(I32,$I$32:$I$38,1)</f>
        <v>5</v>
      </c>
      <c r="AP32" s="196">
        <v>12.7</v>
      </c>
      <c r="AQ32" s="196">
        <v>11.15</v>
      </c>
      <c r="AR32" s="196">
        <v>12.8</v>
      </c>
      <c r="AS32" s="196">
        <v>12.5</v>
      </c>
      <c r="AT32" s="196"/>
      <c r="AU32" s="197">
        <f>AVERAGE(AP32:AT32)</f>
        <v>12.287500000000001</v>
      </c>
      <c r="AV32" s="196">
        <v>13.4</v>
      </c>
      <c r="AW32" s="196">
        <v>10.85</v>
      </c>
      <c r="AX32" s="196">
        <v>11.3</v>
      </c>
      <c r="AY32" s="196">
        <v>12.75</v>
      </c>
      <c r="BA32" s="199">
        <f>AVERAGE(AV32:AY32)</f>
        <v>12.074999999999999</v>
      </c>
      <c r="BB32" s="200">
        <v>12</v>
      </c>
      <c r="BC32" s="200">
        <f>IF(ISERR(BA32),0,IF(BA32&lt;BB32,BA32-BB32,0))</f>
        <v>0</v>
      </c>
      <c r="BD32" s="196">
        <v>13</v>
      </c>
      <c r="BE32" s="196">
        <v>11.5</v>
      </c>
      <c r="BF32" s="196">
        <v>10.65</v>
      </c>
      <c r="BG32" s="196">
        <v>12.55</v>
      </c>
      <c r="BI32" s="199">
        <f>AVERAGE(BD32:BG32)</f>
        <v>11.925000000000001</v>
      </c>
      <c r="BJ32" s="196">
        <v>10</v>
      </c>
      <c r="BK32" s="196">
        <v>10.5</v>
      </c>
      <c r="BL32" s="196">
        <v>13.5</v>
      </c>
      <c r="BM32" s="196">
        <v>13</v>
      </c>
      <c r="BN32" s="196"/>
      <c r="BO32" s="199">
        <f>AVERAGE(BJ32:BM32)</f>
        <v>11.75</v>
      </c>
      <c r="BP32" s="200">
        <v>11</v>
      </c>
      <c r="BQ32" s="200">
        <f>IF(ISERR(BO32),0,IF(BO32&lt;BP32,BO32-BP32,0))</f>
        <v>0</v>
      </c>
    </row>
    <row r="33" spans="1:69">
      <c r="A33" s="227" t="s">
        <v>726</v>
      </c>
      <c r="B33" s="227" t="s">
        <v>728</v>
      </c>
      <c r="C33" s="228" t="s">
        <v>278</v>
      </c>
      <c r="D33" s="228">
        <v>4</v>
      </c>
      <c r="E33" s="229">
        <v>0.55486111111110703</v>
      </c>
      <c r="F33" s="229">
        <v>0.59811342592592587</v>
      </c>
      <c r="G33" s="229">
        <v>0.70185185185185184</v>
      </c>
      <c r="H33" s="210">
        <f>F33-E33</f>
        <v>4.3252314814818837E-2</v>
      </c>
      <c r="I33" s="210">
        <f>H33-MIN(H$28:H$38)</f>
        <v>1.1041666666668837E-2</v>
      </c>
      <c r="J33" s="210">
        <f>G33-E33</f>
        <v>0.14699074074074481</v>
      </c>
      <c r="K33" s="229">
        <v>0.14583333333333334</v>
      </c>
      <c r="L33" s="229">
        <v>0.34583333333333338</v>
      </c>
      <c r="M33" s="229">
        <v>0.37504629629629632</v>
      </c>
      <c r="N33" s="229"/>
      <c r="O33" s="210">
        <f>M33-L33</f>
        <v>2.9212962962962941E-2</v>
      </c>
      <c r="P33" s="210">
        <f>O33-MIN(O$28:O$38)</f>
        <v>5.1851851851850705E-3</v>
      </c>
      <c r="Q33" s="210">
        <f>N33-L33</f>
        <v>-0.34583333333333338</v>
      </c>
      <c r="R33" s="229">
        <v>0.16666666666666666</v>
      </c>
      <c r="S33" s="230">
        <v>0.7</v>
      </c>
      <c r="T33" s="230">
        <v>1</v>
      </c>
      <c r="U33" s="230">
        <v>2</v>
      </c>
      <c r="V33" s="230">
        <v>4</v>
      </c>
      <c r="W33" s="240">
        <f>ROUND(MAX(W$2-I33*60*24*0.5+BC33,0),1)</f>
        <v>12</v>
      </c>
      <c r="X33" s="240">
        <f>ROUND(MAX(X$2-P33*60*24*0.5+BQ33,0),1)</f>
        <v>16.3</v>
      </c>
      <c r="Y33" s="240">
        <f>ROUND(MAX(MIN(Y$2+(K33-J33)*60*24*0.2,$Y$2),0),1)</f>
        <v>4.7</v>
      </c>
      <c r="Z33" s="240">
        <f>ROUND(MAX(MIN($Z$2+(R33-Q33)*60*24*0.2,$Z$2),0),1)</f>
        <v>5</v>
      </c>
      <c r="AA33" s="230">
        <v>2.5</v>
      </c>
      <c r="AB33" s="230">
        <v>2.9</v>
      </c>
      <c r="AC33" s="230">
        <v>1.9</v>
      </c>
      <c r="AD33" s="230">
        <v>2</v>
      </c>
      <c r="AE33" s="230">
        <v>1.8</v>
      </c>
      <c r="AF33" s="240">
        <f>SUM(S33:T33)</f>
        <v>1.7</v>
      </c>
      <c r="AG33" s="240">
        <f>SUM(U33:V33)</f>
        <v>6</v>
      </c>
      <c r="AH33" s="230">
        <v>4.5</v>
      </c>
      <c r="AI33" s="230">
        <v>5</v>
      </c>
      <c r="AJ33" s="230">
        <v>5</v>
      </c>
      <c r="AK33" s="230">
        <v>5</v>
      </c>
      <c r="AL33" s="240">
        <f>SUM(W33:AK33)</f>
        <v>76.3</v>
      </c>
      <c r="AM33" s="266">
        <f>RANK(AL33,$AL$32:$AL$38)</f>
        <v>4</v>
      </c>
      <c r="AN33" s="227"/>
      <c r="AO33" s="266">
        <f>RANK(I33,$I$32:$I$38,1)</f>
        <v>6</v>
      </c>
      <c r="AP33" s="196">
        <v>14.85</v>
      </c>
      <c r="AQ33" s="196">
        <v>13.9</v>
      </c>
      <c r="AR33" s="196">
        <v>13.55</v>
      </c>
      <c r="AS33" s="196">
        <v>15.2</v>
      </c>
      <c r="AT33" s="196"/>
      <c r="AU33" s="197">
        <f>AVERAGE(AP33:AT33)</f>
        <v>14.375</v>
      </c>
      <c r="AV33" s="196">
        <v>14.4</v>
      </c>
      <c r="AW33" s="196">
        <v>13.85</v>
      </c>
      <c r="AX33" s="196">
        <v>13.3</v>
      </c>
      <c r="AY33" s="196">
        <v>14.95</v>
      </c>
      <c r="BA33" s="199">
        <f>AVERAGE(AV33:AY33)</f>
        <v>14.125</v>
      </c>
      <c r="BB33" s="200">
        <v>12</v>
      </c>
      <c r="BC33" s="200">
        <f>IF(ISERR(BA33),0,IF(BA33&lt;BB33,BA33-BB33,0))</f>
        <v>0</v>
      </c>
      <c r="BD33" s="196">
        <v>13.1</v>
      </c>
      <c r="BE33" s="196">
        <v>13.15</v>
      </c>
      <c r="BF33" s="196">
        <v>14.15</v>
      </c>
      <c r="BG33" s="196">
        <v>14.95</v>
      </c>
      <c r="BI33" s="199">
        <f>AVERAGE(BD33:BG33)</f>
        <v>13.837499999999999</v>
      </c>
      <c r="BJ33" s="196">
        <v>12.6</v>
      </c>
      <c r="BK33" s="196">
        <v>13</v>
      </c>
      <c r="BL33" s="196">
        <v>14.3</v>
      </c>
      <c r="BM33" s="196">
        <v>13.8</v>
      </c>
      <c r="BN33" s="196"/>
      <c r="BO33" s="199">
        <f>AVERAGE(BJ33:BM33)</f>
        <v>13.425000000000001</v>
      </c>
      <c r="BP33" s="200">
        <v>11</v>
      </c>
      <c r="BQ33" s="200">
        <f>IF(ISERR(BO33),0,IF(BO33&lt;BP33,BO33-BP33,0))</f>
        <v>0</v>
      </c>
    </row>
    <row r="34" spans="1:69">
      <c r="A34" s="227" t="s">
        <v>726</v>
      </c>
      <c r="B34" s="227" t="s">
        <v>751</v>
      </c>
      <c r="C34" s="228" t="s">
        <v>279</v>
      </c>
      <c r="D34" s="228">
        <v>4</v>
      </c>
      <c r="E34" s="229">
        <v>0.55555555555555103</v>
      </c>
      <c r="F34" s="229">
        <v>0.59673611111111113</v>
      </c>
      <c r="G34" s="229">
        <v>0.69780092592592602</v>
      </c>
      <c r="H34" s="210">
        <f>F34-E34</f>
        <v>4.1180555555560105E-2</v>
      </c>
      <c r="I34" s="210">
        <f>H34-MIN(H$28:H$38)</f>
        <v>8.9699074074101048E-3</v>
      </c>
      <c r="J34" s="210">
        <f>G34-E34</f>
        <v>0.14224537037037499</v>
      </c>
      <c r="K34" s="229">
        <v>0.14583333333333334</v>
      </c>
      <c r="L34" s="229">
        <v>0.34375</v>
      </c>
      <c r="M34" s="229">
        <v>0.37359953703703702</v>
      </c>
      <c r="N34" s="229"/>
      <c r="O34" s="210">
        <f>M34-L34</f>
        <v>2.9849537037037022E-2</v>
      </c>
      <c r="P34" s="210">
        <f>O34-MIN(O$28:O$38)</f>
        <v>5.8217592592591516E-3</v>
      </c>
      <c r="Q34" s="210">
        <f>N34-L34</f>
        <v>-0.34375</v>
      </c>
      <c r="R34" s="229">
        <v>0.16666666666666666</v>
      </c>
      <c r="S34" s="230">
        <v>0.8</v>
      </c>
      <c r="T34" s="230">
        <v>0.6</v>
      </c>
      <c r="U34" s="230">
        <v>2</v>
      </c>
      <c r="V34" s="230">
        <v>4</v>
      </c>
      <c r="W34" s="240">
        <f>ROUND(MAX(W$2-I34*60*24*0.5+BC34,0),1)</f>
        <v>13.5</v>
      </c>
      <c r="X34" s="240">
        <f>ROUND(MAX(X$2-P34*60*24*0.5+BQ34,0),1)</f>
        <v>15.8</v>
      </c>
      <c r="Y34" s="240">
        <f>ROUND(MAX(MIN(Y$2+(K34-J34)*60*24*0.2,$Y$2),0),1)</f>
        <v>5</v>
      </c>
      <c r="Z34" s="240">
        <f>ROUND(MAX(MIN($Z$2+(R34-Q34)*60*24*0.2,$Z$2),0),1)</f>
        <v>5</v>
      </c>
      <c r="AA34" s="230">
        <v>3.1</v>
      </c>
      <c r="AB34" s="230">
        <v>2.6</v>
      </c>
      <c r="AC34" s="230">
        <v>3.1</v>
      </c>
      <c r="AD34" s="230">
        <v>3.1</v>
      </c>
      <c r="AE34" s="230">
        <v>1.7</v>
      </c>
      <c r="AF34" s="240">
        <f>SUM(S34:T34)</f>
        <v>1.4</v>
      </c>
      <c r="AG34" s="240">
        <f>SUM(U34:V34)</f>
        <v>6</v>
      </c>
      <c r="AH34" s="230">
        <v>4.5999999999999996</v>
      </c>
      <c r="AI34" s="230">
        <v>5</v>
      </c>
      <c r="AJ34" s="230">
        <v>4.5</v>
      </c>
      <c r="AK34" s="230">
        <v>5</v>
      </c>
      <c r="AL34" s="240">
        <f>SUM(W34:AK34)</f>
        <v>79.400000000000006</v>
      </c>
      <c r="AM34" s="266">
        <f>RANK(AL34,$AL$32:$AL$38)</f>
        <v>2</v>
      </c>
      <c r="AN34" s="227"/>
      <c r="AO34" s="266">
        <f>RANK(I34,$I$32:$I$38,1)</f>
        <v>3</v>
      </c>
      <c r="AP34" s="196">
        <v>13.25</v>
      </c>
      <c r="AQ34" s="196">
        <v>12</v>
      </c>
      <c r="AR34" s="196">
        <v>11.2</v>
      </c>
      <c r="AS34" s="196">
        <v>13.7</v>
      </c>
      <c r="AT34" s="196"/>
      <c r="AU34" s="197">
        <f>AVERAGE(AP34:AT34)</f>
        <v>12.537500000000001</v>
      </c>
      <c r="AV34" s="196">
        <v>13.15</v>
      </c>
      <c r="AW34" s="196">
        <v>11.8</v>
      </c>
      <c r="AX34" s="196">
        <v>11.15</v>
      </c>
      <c r="AY34" s="196">
        <v>13.65</v>
      </c>
      <c r="BA34" s="199">
        <f>AVERAGE(AV34:AY34)</f>
        <v>12.4375</v>
      </c>
      <c r="BB34" s="200">
        <v>12</v>
      </c>
      <c r="BC34" s="200">
        <f>IF(ISERR(BA34),0,IF(BA34&lt;BB34,BA34-BB34,0))</f>
        <v>0</v>
      </c>
      <c r="BD34" s="196">
        <v>12.55</v>
      </c>
      <c r="BE34" s="196">
        <v>11.75</v>
      </c>
      <c r="BF34" s="196">
        <v>12.55</v>
      </c>
      <c r="BG34" s="196">
        <v>11.4</v>
      </c>
      <c r="BI34" s="199">
        <f>AVERAGE(BD34:BG34)</f>
        <v>12.0625</v>
      </c>
      <c r="BJ34" s="196">
        <v>13.2</v>
      </c>
      <c r="BK34" s="196">
        <v>11.5</v>
      </c>
      <c r="BL34" s="196">
        <v>12.4</v>
      </c>
      <c r="BM34" s="196">
        <v>11.4</v>
      </c>
      <c r="BN34" s="196"/>
      <c r="BO34" s="199">
        <f>AVERAGE(BJ34:BM34)</f>
        <v>12.125</v>
      </c>
      <c r="BP34" s="200">
        <v>11</v>
      </c>
      <c r="BQ34" s="200">
        <f>IF(ISERR(BO34),0,IF(BO34&lt;BP34,BO34-BP34,0))</f>
        <v>0</v>
      </c>
    </row>
    <row r="35" spans="1:69">
      <c r="A35" s="227" t="s">
        <v>726</v>
      </c>
      <c r="B35" s="218" t="s">
        <v>122</v>
      </c>
      <c r="C35" s="228" t="s">
        <v>634</v>
      </c>
      <c r="D35" s="228">
        <v>3</v>
      </c>
      <c r="E35" s="229">
        <v>0.55624999999999503</v>
      </c>
      <c r="F35" s="229">
        <v>0.60712962962962969</v>
      </c>
      <c r="G35" s="229">
        <v>0.69826388888888891</v>
      </c>
      <c r="H35" s="210">
        <f>F35-E35</f>
        <v>5.087962962963466E-2</v>
      </c>
      <c r="I35" s="210">
        <f>H35-MIN(H$28:H$38)</f>
        <v>1.8668981481484659E-2</v>
      </c>
      <c r="J35" s="210">
        <f>G35-E35</f>
        <v>0.14201388888889388</v>
      </c>
      <c r="K35" s="229">
        <v>0.14583333333333334</v>
      </c>
      <c r="L35" s="229">
        <v>0.34652777777777777</v>
      </c>
      <c r="M35" s="229">
        <v>0.38217592592592592</v>
      </c>
      <c r="N35" s="229"/>
      <c r="O35" s="210">
        <f>M35-L35</f>
        <v>3.5648148148148151E-2</v>
      </c>
      <c r="P35" s="210">
        <f>O35-MIN(O$28:O$38)</f>
        <v>1.1620370370370281E-2</v>
      </c>
      <c r="Q35" s="210">
        <f>N35-L35</f>
        <v>-0.34652777777777777</v>
      </c>
      <c r="R35" s="229">
        <v>0.16666666666666666</v>
      </c>
      <c r="S35" s="230">
        <v>0.6</v>
      </c>
      <c r="T35" s="230">
        <v>0.6</v>
      </c>
      <c r="U35" s="230">
        <v>3</v>
      </c>
      <c r="V35" s="230">
        <v>4</v>
      </c>
      <c r="W35" s="240">
        <f>ROUND(MAX(W$2-I35*60*24*0.5+BC35,0),1)</f>
        <v>6.6</v>
      </c>
      <c r="X35" s="240">
        <f>ROUND(MAX(X$2-P35*60*24*0.5+BQ35,0),1)</f>
        <v>11.6</v>
      </c>
      <c r="Y35" s="240">
        <f>ROUND(MAX(MIN(Y$2+(K35-J35)*60*24*0.2,$Y$2),0),1)</f>
        <v>5</v>
      </c>
      <c r="Z35" s="240">
        <f>ROUND(MAX(MIN($Z$2+(R35-Q35)*60*24*0.2,$Z$2),0),1)</f>
        <v>5</v>
      </c>
      <c r="AA35" s="230">
        <v>3.2</v>
      </c>
      <c r="AB35" s="230">
        <v>2</v>
      </c>
      <c r="AC35" s="230">
        <v>3</v>
      </c>
      <c r="AD35" s="230">
        <v>2.7</v>
      </c>
      <c r="AE35" s="230">
        <v>1.6</v>
      </c>
      <c r="AF35" s="240">
        <f>SUM(S35:T35)</f>
        <v>1.2</v>
      </c>
      <c r="AG35" s="240">
        <f>SUM(U35:V35)</f>
        <v>7</v>
      </c>
      <c r="AH35" s="230">
        <v>4.5</v>
      </c>
      <c r="AI35" s="230">
        <v>4.8</v>
      </c>
      <c r="AJ35" s="230">
        <v>5</v>
      </c>
      <c r="AK35" s="230">
        <v>5</v>
      </c>
      <c r="AL35" s="240">
        <f>SUM(W35:AK35)</f>
        <v>68.2</v>
      </c>
      <c r="AM35" s="266">
        <f>RANK(AL35,$AL$32:$AL$38)</f>
        <v>5</v>
      </c>
      <c r="AN35" s="227"/>
      <c r="AO35" s="266">
        <f>RANK(I35,$I$32:$I$38,1)</f>
        <v>7</v>
      </c>
      <c r="AP35" s="196">
        <v>13.6</v>
      </c>
      <c r="AQ35" s="196">
        <v>12.55</v>
      </c>
      <c r="AR35" s="196">
        <v>12.5</v>
      </c>
      <c r="AS35" s="196"/>
      <c r="AT35" s="196"/>
      <c r="AU35" s="197">
        <f>AVERAGE(AP35:AT35)</f>
        <v>12.883333333333333</v>
      </c>
      <c r="AV35" s="196">
        <v>13</v>
      </c>
      <c r="AW35" s="196">
        <v>12.55</v>
      </c>
      <c r="AX35" s="196">
        <v>13.2</v>
      </c>
      <c r="AY35" s="196"/>
      <c r="BA35" s="199">
        <f>AVERAGE(AV35:AY35)</f>
        <v>12.916666666666666</v>
      </c>
      <c r="BB35" s="200">
        <v>12</v>
      </c>
      <c r="BC35" s="200">
        <f>IF(ISERR(BA35),0,IF(BA35&lt;BB35,BA35-BB35,0))</f>
        <v>0</v>
      </c>
      <c r="BD35" s="196">
        <v>13.4</v>
      </c>
      <c r="BE35" s="196">
        <v>15.3</v>
      </c>
      <c r="BF35" s="196">
        <v>12.55</v>
      </c>
      <c r="BG35" s="196"/>
      <c r="BI35" s="199">
        <f>AVERAGE(BD35:BG35)</f>
        <v>13.75</v>
      </c>
      <c r="BJ35" s="196">
        <v>15.2</v>
      </c>
      <c r="BK35" s="196">
        <v>14.2</v>
      </c>
      <c r="BL35" s="196">
        <v>12.5</v>
      </c>
      <c r="BM35" s="196"/>
      <c r="BN35" s="196"/>
      <c r="BO35" s="199">
        <f>AVERAGE(BJ35:BM35)</f>
        <v>13.966666666666667</v>
      </c>
      <c r="BP35" s="200">
        <v>11</v>
      </c>
      <c r="BQ35" s="200">
        <f>IF(ISERR(BO35),0,IF(BO35&lt;BP35,BO35-BP35,0))</f>
        <v>0</v>
      </c>
    </row>
    <row r="36" spans="1:69">
      <c r="A36" s="227" t="s">
        <v>726</v>
      </c>
      <c r="B36" s="227" t="s">
        <v>752</v>
      </c>
      <c r="C36" s="228" t="s">
        <v>754</v>
      </c>
      <c r="D36" s="219">
        <v>4</v>
      </c>
      <c r="E36" s="220">
        <v>0.55694444444443902</v>
      </c>
      <c r="F36" s="220">
        <v>0.59842592592592592</v>
      </c>
      <c r="G36" s="220">
        <v>0.69407407407407407</v>
      </c>
      <c r="H36" s="208">
        <f>F36-E36</f>
        <v>4.1481481481486893E-2</v>
      </c>
      <c r="I36" s="208">
        <f>H36-MIN(H$28:H$38)</f>
        <v>9.270833333336892E-3</v>
      </c>
      <c r="J36" s="208">
        <f>G36-E36</f>
        <v>0.13712962962963504</v>
      </c>
      <c r="K36" s="220">
        <v>0.14583333333333334</v>
      </c>
      <c r="L36" s="220">
        <v>0.3444444444444445</v>
      </c>
      <c r="M36" s="220">
        <v>0.37557870370370372</v>
      </c>
      <c r="N36" s="220"/>
      <c r="O36" s="208">
        <f>M36-L36</f>
        <v>3.1134259259259223E-2</v>
      </c>
      <c r="P36" s="208">
        <f>O36-MIN(O$28:O$38)</f>
        <v>7.1064814814813526E-3</v>
      </c>
      <c r="Q36" s="208">
        <f>N36-L36</f>
        <v>-0.3444444444444445</v>
      </c>
      <c r="R36" s="220">
        <v>0.16666666666666666</v>
      </c>
      <c r="S36" s="221">
        <v>0.2</v>
      </c>
      <c r="T36" s="221">
        <v>0.6</v>
      </c>
      <c r="U36" s="221">
        <v>1</v>
      </c>
      <c r="V36" s="221">
        <v>4</v>
      </c>
      <c r="W36" s="238">
        <f>ROUND(MAX(W$2-I36*60*24*0.5+BC36,0),1)</f>
        <v>13.3</v>
      </c>
      <c r="X36" s="238">
        <f>ROUND(MAX(X$2-P36*60*24*0.5+BQ36,0),1)</f>
        <v>14.9</v>
      </c>
      <c r="Y36" s="238">
        <f>ROUND(MAX(MIN(Y$2+(K36-J36)*60*24*0.2,$Y$2),0),1)</f>
        <v>5</v>
      </c>
      <c r="Z36" s="238">
        <f>ROUND(MAX(MIN($Z$2+(R36-Q36)*60*24*0.2,$Z$2),0),1)</f>
        <v>5</v>
      </c>
      <c r="AA36" s="221">
        <v>2.2999999999999998</v>
      </c>
      <c r="AB36" s="221">
        <v>3.4</v>
      </c>
      <c r="AC36" s="221">
        <v>3.5</v>
      </c>
      <c r="AD36" s="221">
        <v>2.9</v>
      </c>
      <c r="AE36" s="221">
        <v>1.8</v>
      </c>
      <c r="AF36" s="238">
        <f>SUM(S36:T36)</f>
        <v>0.8</v>
      </c>
      <c r="AG36" s="238">
        <f>SUM(U36:V36)</f>
        <v>5</v>
      </c>
      <c r="AH36" s="221">
        <v>4.3</v>
      </c>
      <c r="AI36" s="221">
        <v>5</v>
      </c>
      <c r="AJ36" s="221">
        <v>4.5</v>
      </c>
      <c r="AK36" s="221">
        <v>5</v>
      </c>
      <c r="AL36" s="238">
        <f>SUM(W36:AK36)</f>
        <v>76.699999999999989</v>
      </c>
      <c r="AM36" s="267">
        <f>RANK(AL36,$AL$32:$AL$38)</f>
        <v>3</v>
      </c>
      <c r="AN36" s="218"/>
      <c r="AO36" s="267">
        <f>RANK(I36,$I$32:$I$38,1)</f>
        <v>4</v>
      </c>
      <c r="AP36" s="196">
        <v>12.5</v>
      </c>
      <c r="AQ36" s="196">
        <v>12.45</v>
      </c>
      <c r="AR36" s="196">
        <v>14</v>
      </c>
      <c r="AS36" s="196"/>
      <c r="AT36" s="196"/>
      <c r="AU36" s="197">
        <f>AVERAGE(AP36:AT36)</f>
        <v>12.983333333333334</v>
      </c>
      <c r="AV36" s="196">
        <v>12.5</v>
      </c>
      <c r="AW36" s="196">
        <v>12.2</v>
      </c>
      <c r="AX36" s="196">
        <v>13.85</v>
      </c>
      <c r="AY36" s="196"/>
      <c r="BA36" s="199">
        <f>AVERAGE(AV36:AY36)</f>
        <v>12.85</v>
      </c>
      <c r="BB36" s="200">
        <v>12</v>
      </c>
      <c r="BC36" s="200">
        <f>IF(ISERR(BA36),0,IF(BA36&lt;BB36,BA36-BB36,0))</f>
        <v>0</v>
      </c>
      <c r="BD36" s="196">
        <v>13.1</v>
      </c>
      <c r="BE36" s="196">
        <v>11.85</v>
      </c>
      <c r="BF36" s="196">
        <v>13.8</v>
      </c>
      <c r="BG36" s="196"/>
      <c r="BI36" s="199">
        <f>AVERAGE(BD36:BG36)</f>
        <v>12.916666666666666</v>
      </c>
      <c r="BJ36" s="196">
        <v>13</v>
      </c>
      <c r="BK36" s="196">
        <v>11.6</v>
      </c>
      <c r="BL36" s="196">
        <v>13.8</v>
      </c>
      <c r="BM36" s="196"/>
      <c r="BN36" s="196"/>
      <c r="BO36" s="199">
        <f>AVERAGE(BJ36:BM36)</f>
        <v>12.800000000000002</v>
      </c>
      <c r="BP36" s="200">
        <v>11</v>
      </c>
      <c r="BQ36" s="200">
        <f>IF(ISERR(BO36),0,IF(BO36&lt;BP36,BO36-BP36,0))</f>
        <v>0</v>
      </c>
    </row>
    <row r="37" spans="1:69">
      <c r="A37" s="227" t="s">
        <v>726</v>
      </c>
      <c r="B37" s="218" t="s">
        <v>179</v>
      </c>
      <c r="C37" s="228" t="s">
        <v>755</v>
      </c>
      <c r="D37" s="219">
        <v>4</v>
      </c>
      <c r="E37" s="229">
        <v>0.55763888888888302</v>
      </c>
      <c r="F37" s="220">
        <v>0.59662037037037041</v>
      </c>
      <c r="G37" s="220">
        <v>0.69548611111111114</v>
      </c>
      <c r="H37" s="208">
        <f>F37-E37</f>
        <v>3.898148148148739E-2</v>
      </c>
      <c r="I37" s="208">
        <f>H37-MIN(H$28:H$38)</f>
        <v>6.7708333333373893E-3</v>
      </c>
      <c r="J37" s="208">
        <f>G37-E37</f>
        <v>0.13784722222222812</v>
      </c>
      <c r="K37" s="220">
        <v>0.14583333333333334</v>
      </c>
      <c r="L37" s="220">
        <v>0.3430555555555555</v>
      </c>
      <c r="M37" s="220">
        <v>0.3727199074074074</v>
      </c>
      <c r="N37" s="220"/>
      <c r="O37" s="208">
        <f>M37-L37</f>
        <v>2.96643518518519E-2</v>
      </c>
      <c r="P37" s="208">
        <f>O37-MIN(O$28:O$38)</f>
        <v>5.63657407407403E-3</v>
      </c>
      <c r="Q37" s="208">
        <f>N37-L37</f>
        <v>-0.3430555555555555</v>
      </c>
      <c r="R37" s="220">
        <v>0.16666666666666666</v>
      </c>
      <c r="S37" s="221">
        <v>1</v>
      </c>
      <c r="T37" s="221">
        <v>0.8</v>
      </c>
      <c r="U37" s="221">
        <v>5</v>
      </c>
      <c r="V37" s="221">
        <v>4</v>
      </c>
      <c r="W37" s="238">
        <f>ROUND(MAX(W$2-I37*60*24*0.5+BC37,0),1)</f>
        <v>15.1</v>
      </c>
      <c r="X37" s="238">
        <f>ROUND(MAX(X$2-P37*60*24*0.5+BQ37,0),1)</f>
        <v>15.9</v>
      </c>
      <c r="Y37" s="238">
        <f>ROUND(MAX(MIN(Y$2+(K37-J37)*60*24*0.2,$Y$2),0),1)</f>
        <v>5</v>
      </c>
      <c r="Z37" s="238">
        <f>ROUND(MAX(MIN($Z$2+(R37-Q37)*60*24*0.2,$Z$2),0),1)</f>
        <v>5</v>
      </c>
      <c r="AA37" s="221">
        <v>2.9</v>
      </c>
      <c r="AB37" s="221">
        <v>3.6</v>
      </c>
      <c r="AC37" s="221">
        <v>3.9</v>
      </c>
      <c r="AD37" s="221">
        <v>2.6</v>
      </c>
      <c r="AE37" s="221">
        <v>2</v>
      </c>
      <c r="AF37" s="238">
        <f>SUM(S37:T37)</f>
        <v>1.8</v>
      </c>
      <c r="AG37" s="238">
        <f>SUM(U37:V37)</f>
        <v>9</v>
      </c>
      <c r="AH37" s="221">
        <v>5</v>
      </c>
      <c r="AI37" s="221">
        <v>5</v>
      </c>
      <c r="AJ37" s="221">
        <v>5</v>
      </c>
      <c r="AK37" s="221">
        <v>5</v>
      </c>
      <c r="AL37" s="238">
        <f>SUM(W37:AK37)</f>
        <v>86.8</v>
      </c>
      <c r="AM37" s="267">
        <f>RANK(AL37,$AL$32:$AL$38)</f>
        <v>1</v>
      </c>
      <c r="AN37" s="218"/>
      <c r="AO37" s="267">
        <f>RANK(I37,$I$32:$I$38,1)</f>
        <v>2</v>
      </c>
      <c r="AP37" s="196">
        <v>12.4</v>
      </c>
      <c r="AQ37" s="196">
        <v>12.1</v>
      </c>
      <c r="AR37" s="196">
        <v>12.15</v>
      </c>
      <c r="AS37" s="196">
        <v>13</v>
      </c>
      <c r="AT37" s="196"/>
      <c r="AU37" s="197">
        <f>AVERAGE(AP37:AT37)</f>
        <v>12.4125</v>
      </c>
      <c r="AV37" s="196">
        <v>12.9</v>
      </c>
      <c r="AW37" s="196">
        <v>12.15</v>
      </c>
      <c r="AX37" s="196">
        <v>12.35</v>
      </c>
      <c r="AY37" s="196">
        <v>12.1</v>
      </c>
      <c r="BA37" s="199">
        <f>AVERAGE(AV37:AY37)</f>
        <v>12.375</v>
      </c>
      <c r="BB37" s="200">
        <v>12</v>
      </c>
      <c r="BC37" s="200">
        <f>IF(ISERR(BA37),0,IF(BA37&lt;BB37,BA37-BB37,0))</f>
        <v>0</v>
      </c>
      <c r="BD37" s="196">
        <v>11.35</v>
      </c>
      <c r="BE37" s="196">
        <v>11.55</v>
      </c>
      <c r="BF37" s="196">
        <v>11</v>
      </c>
      <c r="BG37" s="196">
        <v>11.4</v>
      </c>
      <c r="BI37" s="199">
        <f>AVERAGE(BD37:BG37)</f>
        <v>11.324999999999999</v>
      </c>
      <c r="BJ37" s="196">
        <v>11.3</v>
      </c>
      <c r="BK37" s="196">
        <v>11</v>
      </c>
      <c r="BL37" s="196">
        <v>11.2</v>
      </c>
      <c r="BM37" s="196">
        <v>11.5</v>
      </c>
      <c r="BN37" s="196"/>
      <c r="BO37" s="199">
        <f>AVERAGE(BJ37:BM37)</f>
        <v>11.25</v>
      </c>
      <c r="BP37" s="200">
        <v>11</v>
      </c>
      <c r="BQ37" s="200">
        <f>IF(ISERR(BO37),0,IF(BO37&lt;BP37,BO37-BP37,0))</f>
        <v>0</v>
      </c>
    </row>
    <row r="38" spans="1:69">
      <c r="A38" s="291" t="s">
        <v>726</v>
      </c>
      <c r="B38" s="218" t="s">
        <v>753</v>
      </c>
      <c r="C38" s="228" t="s">
        <v>756</v>
      </c>
      <c r="D38" s="219">
        <v>3</v>
      </c>
      <c r="E38" s="220">
        <v>0.55833333333332702</v>
      </c>
      <c r="F38" s="220">
        <v>0.59597222222222224</v>
      </c>
      <c r="G38" s="220">
        <v>0.6888657407407407</v>
      </c>
      <c r="H38" s="208">
        <f>F38-E38</f>
        <v>3.7638888888895217E-2</v>
      </c>
      <c r="I38" s="208">
        <f>H38-MIN(H$28:H$38)</f>
        <v>5.428240740745216E-3</v>
      </c>
      <c r="J38" s="208">
        <f>G38-E38</f>
        <v>0.13053240740741368</v>
      </c>
      <c r="K38" s="220">
        <v>0.14583333333333334</v>
      </c>
      <c r="L38" s="220">
        <v>0.34236111111111112</v>
      </c>
      <c r="M38" s="220">
        <v>0.36906250000000002</v>
      </c>
      <c r="N38" s="220"/>
      <c r="O38" s="208">
        <f>M38-L38</f>
        <v>2.6701388888888899E-2</v>
      </c>
      <c r="P38" s="208">
        <f>O38-MIN(O$28:O$38)</f>
        <v>2.6736111111110294E-3</v>
      </c>
      <c r="Q38" s="208">
        <f>N38-L38</f>
        <v>-0.34236111111111112</v>
      </c>
      <c r="R38" s="220">
        <v>0.16666666666666666</v>
      </c>
      <c r="S38" s="221">
        <v>0</v>
      </c>
      <c r="T38" s="221">
        <v>0.2</v>
      </c>
      <c r="U38" s="221">
        <v>4</v>
      </c>
      <c r="V38" s="221">
        <v>4</v>
      </c>
      <c r="W38" s="238">
        <f>ROUND(MAX(W$2-I38*60*24*0.5+BC38,0),1)</f>
        <v>16.100000000000001</v>
      </c>
      <c r="X38" s="238">
        <f>ROUND(MAX(X$2-P38*60*24*0.5+BQ38,0),1)</f>
        <v>18.100000000000001</v>
      </c>
      <c r="Y38" s="238">
        <f>ROUND(MAX(MIN(Y$2+(K38-J38)*60*24*0.2,$Y$2),0),1)</f>
        <v>5</v>
      </c>
      <c r="Z38" s="238">
        <f>ROUND(MAX(MIN($Z$2+(R38-Q38)*60*24*0.2,$Z$2),0),1)</f>
        <v>5</v>
      </c>
      <c r="AA38" s="221">
        <v>2.6</v>
      </c>
      <c r="AB38" s="221">
        <v>3.1</v>
      </c>
      <c r="AC38" s="221">
        <v>2.4</v>
      </c>
      <c r="AD38" s="221">
        <v>2.2999999999999998</v>
      </c>
      <c r="AE38" s="221">
        <v>1.4</v>
      </c>
      <c r="AF38" s="238">
        <f>SUM(S38:T38)</f>
        <v>0.2</v>
      </c>
      <c r="AG38" s="238">
        <f>SUM(U38:V38)</f>
        <v>8</v>
      </c>
      <c r="AH38" s="221">
        <v>3.5</v>
      </c>
      <c r="AI38" s="221">
        <v>5</v>
      </c>
      <c r="AJ38" s="221">
        <v>3</v>
      </c>
      <c r="AK38" s="221">
        <v>5</v>
      </c>
      <c r="AL38" s="238"/>
      <c r="AM38" s="267"/>
      <c r="AN38" s="218" t="s">
        <v>764</v>
      </c>
      <c r="AO38" s="267">
        <f>RANK(I38,$I$32:$I$38,1)</f>
        <v>1</v>
      </c>
      <c r="AP38" s="196">
        <v>14.55</v>
      </c>
      <c r="AQ38" s="196">
        <v>13.9</v>
      </c>
      <c r="AR38" s="196">
        <v>15.7</v>
      </c>
      <c r="AS38" s="196"/>
      <c r="AT38" s="196"/>
      <c r="AU38" s="197">
        <f>AVERAGE(AP38:AT38)</f>
        <v>14.716666666666669</v>
      </c>
      <c r="AV38" s="196">
        <v>15.6</v>
      </c>
      <c r="AW38" s="196">
        <v>14.5</v>
      </c>
      <c r="AX38" s="196">
        <v>13.6</v>
      </c>
      <c r="AY38" s="196"/>
      <c r="BA38" s="199">
        <f>AVERAGE(AV38:AY38)</f>
        <v>14.566666666666668</v>
      </c>
      <c r="BB38" s="200">
        <v>12</v>
      </c>
      <c r="BC38" s="200">
        <f>IF(ISERR(BA38),0,IF(BA38&lt;BB38,BA38-BB38,0))</f>
        <v>0</v>
      </c>
      <c r="BD38" s="196">
        <v>14.6</v>
      </c>
      <c r="BE38" s="196">
        <v>14.6</v>
      </c>
      <c r="BF38" s="196">
        <v>13.5</v>
      </c>
      <c r="BG38" s="196"/>
      <c r="BI38" s="199">
        <f>AVERAGE(BD38:BG38)</f>
        <v>14.233333333333334</v>
      </c>
      <c r="BJ38" s="196">
        <v>14.7</v>
      </c>
      <c r="BK38" s="196">
        <v>14.7</v>
      </c>
      <c r="BL38" s="196">
        <v>13.5</v>
      </c>
      <c r="BM38" s="196"/>
      <c r="BN38" s="196"/>
      <c r="BO38" s="199">
        <f>AVERAGE(BJ38:BM38)</f>
        <v>14.299999999999999</v>
      </c>
      <c r="BP38" s="200">
        <v>11</v>
      </c>
      <c r="BQ38" s="200">
        <f>IF(ISERR(BO38),0,IF(BO38&lt;BP38,BO38-BP38,0))</f>
        <v>0</v>
      </c>
    </row>
    <row r="39" spans="1:69">
      <c r="A39" s="218"/>
      <c r="B39" s="218"/>
      <c r="C39" s="219"/>
      <c r="D39" s="219"/>
      <c r="E39" s="220"/>
      <c r="F39" s="220"/>
      <c r="G39" s="220"/>
      <c r="H39" s="208"/>
      <c r="I39" s="208"/>
      <c r="J39" s="208"/>
      <c r="K39" s="220"/>
      <c r="L39" s="220"/>
      <c r="M39" s="220"/>
      <c r="N39" s="220"/>
      <c r="O39" s="208"/>
      <c r="P39" s="208"/>
      <c r="Q39" s="208"/>
      <c r="R39" s="220"/>
      <c r="S39" s="221"/>
      <c r="T39" s="221"/>
      <c r="U39" s="221"/>
      <c r="V39" s="221"/>
      <c r="W39" s="238"/>
      <c r="X39" s="238"/>
      <c r="Y39" s="238"/>
      <c r="Z39" s="238"/>
      <c r="AA39" s="221"/>
      <c r="AB39" s="221"/>
      <c r="AC39" s="221"/>
      <c r="AD39" s="221"/>
      <c r="AE39" s="221"/>
      <c r="AF39" s="238"/>
      <c r="AG39" s="238"/>
      <c r="AH39" s="221"/>
      <c r="AI39" s="221"/>
      <c r="AJ39" s="221"/>
      <c r="AK39" s="221"/>
      <c r="AL39" s="238"/>
      <c r="AM39" s="243"/>
      <c r="AN39" s="218"/>
      <c r="AO39" s="243"/>
      <c r="BA39" s="199"/>
    </row>
    <row r="40" spans="1:69">
      <c r="A40" s="218"/>
      <c r="B40" s="218"/>
      <c r="C40" s="219"/>
      <c r="D40" s="219"/>
      <c r="E40" s="220"/>
      <c r="F40" s="220"/>
      <c r="G40" s="220"/>
      <c r="H40" s="208"/>
      <c r="I40" s="208"/>
      <c r="J40" s="208"/>
      <c r="K40" s="220"/>
      <c r="L40" s="220"/>
      <c r="M40" s="220"/>
      <c r="N40" s="220"/>
      <c r="O40" s="208"/>
      <c r="P40" s="208"/>
      <c r="Q40" s="208"/>
      <c r="R40" s="220"/>
      <c r="S40" s="221"/>
      <c r="T40" s="221"/>
      <c r="U40" s="221"/>
      <c r="V40" s="221"/>
      <c r="W40" s="238"/>
      <c r="X40" s="238"/>
      <c r="Y40" s="238"/>
      <c r="Z40" s="238"/>
      <c r="AA40" s="221"/>
      <c r="AB40" s="221"/>
      <c r="AC40" s="221"/>
      <c r="AD40" s="221"/>
      <c r="AE40" s="221"/>
      <c r="AF40" s="238"/>
      <c r="AG40" s="238"/>
      <c r="AH40" s="221"/>
      <c r="AI40" s="221"/>
      <c r="AJ40" s="221"/>
      <c r="AK40" s="221"/>
      <c r="AL40" s="238"/>
      <c r="AM40" s="243"/>
      <c r="AN40" s="218"/>
      <c r="AO40" s="243"/>
    </row>
    <row r="41" spans="1:69">
      <c r="B41" s="81" t="s">
        <v>761</v>
      </c>
    </row>
    <row r="42" spans="1:69">
      <c r="B42" s="81" t="s">
        <v>694</v>
      </c>
      <c r="E42" s="191"/>
      <c r="F42" s="191"/>
      <c r="I42" s="192"/>
      <c r="J42" s="192"/>
      <c r="N42" s="193"/>
      <c r="O42" s="193"/>
      <c r="P42" s="193"/>
      <c r="Q42" s="193"/>
      <c r="R42" s="193"/>
      <c r="T42" s="198"/>
      <c r="U42" s="193"/>
      <c r="V42" s="193"/>
      <c r="W42" s="193">
        <f t="shared" ref="W42:AL42" si="0">MAX(W3:W40)</f>
        <v>20</v>
      </c>
      <c r="X42" s="193">
        <f t="shared" si="0"/>
        <v>20</v>
      </c>
      <c r="Y42" s="193">
        <f t="shared" si="0"/>
        <v>5</v>
      </c>
      <c r="Z42" s="193">
        <f t="shared" si="0"/>
        <v>5</v>
      </c>
      <c r="AA42" s="193">
        <f t="shared" ref="AA42:AH42" si="1">MAX(AA3:AA40)</f>
        <v>4</v>
      </c>
      <c r="AB42" s="193">
        <f t="shared" si="1"/>
        <v>4</v>
      </c>
      <c r="AC42" s="193">
        <f t="shared" si="1"/>
        <v>4</v>
      </c>
      <c r="AD42" s="193">
        <f t="shared" si="1"/>
        <v>3.8</v>
      </c>
      <c r="AE42" s="193">
        <f t="shared" si="1"/>
        <v>2</v>
      </c>
      <c r="AF42" s="193">
        <f t="shared" si="1"/>
        <v>2</v>
      </c>
      <c r="AG42" s="193">
        <f t="shared" si="1"/>
        <v>10</v>
      </c>
      <c r="AH42" s="193">
        <f t="shared" si="1"/>
        <v>5</v>
      </c>
      <c r="AI42" s="193">
        <f t="shared" si="0"/>
        <v>5</v>
      </c>
      <c r="AJ42" s="193">
        <f t="shared" si="0"/>
        <v>5</v>
      </c>
      <c r="AK42" s="193">
        <f t="shared" si="0"/>
        <v>5</v>
      </c>
      <c r="AL42" s="193">
        <f t="shared" si="0"/>
        <v>98.2</v>
      </c>
    </row>
    <row r="43" spans="1:69">
      <c r="B43" s="81" t="s">
        <v>695</v>
      </c>
      <c r="E43" s="191"/>
      <c r="F43" s="191"/>
      <c r="I43" s="192"/>
      <c r="J43" s="192"/>
      <c r="N43" s="193"/>
      <c r="O43" s="193"/>
      <c r="P43" s="193"/>
      <c r="Q43" s="193"/>
      <c r="R43" s="193"/>
      <c r="T43" s="198"/>
      <c r="U43" s="193"/>
      <c r="V43" s="193"/>
      <c r="W43" s="193">
        <f t="shared" ref="W43:AL43" si="2">MIN(W3:W40)</f>
        <v>4.2</v>
      </c>
      <c r="X43" s="193">
        <f t="shared" si="2"/>
        <v>6.6</v>
      </c>
      <c r="Y43" s="193">
        <f t="shared" si="2"/>
        <v>4.7</v>
      </c>
      <c r="Z43" s="193">
        <f t="shared" si="2"/>
        <v>5</v>
      </c>
      <c r="AA43" s="193">
        <f t="shared" ref="AA43:AH43" si="3">MIN(AA3:AA40)</f>
        <v>0.5</v>
      </c>
      <c r="AB43" s="193">
        <f t="shared" si="3"/>
        <v>0</v>
      </c>
      <c r="AC43" s="193">
        <f t="shared" si="3"/>
        <v>1.2</v>
      </c>
      <c r="AD43" s="193">
        <f t="shared" si="3"/>
        <v>0</v>
      </c>
      <c r="AE43" s="193">
        <f t="shared" si="3"/>
        <v>0.8</v>
      </c>
      <c r="AF43" s="193">
        <f t="shared" si="3"/>
        <v>0.2</v>
      </c>
      <c r="AG43" s="193">
        <f t="shared" si="3"/>
        <v>1</v>
      </c>
      <c r="AH43" s="193">
        <f t="shared" si="3"/>
        <v>1</v>
      </c>
      <c r="AI43" s="193">
        <f t="shared" si="2"/>
        <v>3.8</v>
      </c>
      <c r="AJ43" s="193">
        <f t="shared" si="2"/>
        <v>3</v>
      </c>
      <c r="AK43" s="193">
        <f t="shared" si="2"/>
        <v>4</v>
      </c>
      <c r="AL43" s="193">
        <f t="shared" si="2"/>
        <v>48.600000000000009</v>
      </c>
    </row>
    <row r="44" spans="1:69">
      <c r="B44" s="81" t="s">
        <v>696</v>
      </c>
      <c r="E44" s="191"/>
      <c r="F44" s="191"/>
      <c r="I44" s="192"/>
      <c r="J44" s="192"/>
      <c r="N44" s="193"/>
      <c r="O44" s="193"/>
      <c r="P44" s="193"/>
      <c r="Q44" s="193"/>
      <c r="R44" s="193"/>
      <c r="T44" s="198"/>
      <c r="U44" s="193"/>
      <c r="V44" s="193"/>
      <c r="W44" s="193">
        <f t="shared" ref="W44:AL44" si="4">AVERAGE(W3:W40)</f>
        <v>13.522857142857147</v>
      </c>
      <c r="X44" s="193">
        <f t="shared" si="4"/>
        <v>15.522857142857145</v>
      </c>
      <c r="Y44" s="193">
        <f t="shared" si="4"/>
        <v>4.9914285714285711</v>
      </c>
      <c r="Z44" s="193">
        <f t="shared" si="4"/>
        <v>5</v>
      </c>
      <c r="AA44" s="193">
        <f t="shared" ref="AA44:AH44" si="5">AVERAGE(AA3:AA40)</f>
        <v>2.6142857142857134</v>
      </c>
      <c r="AB44" s="193">
        <f t="shared" si="5"/>
        <v>2.9142857142857141</v>
      </c>
      <c r="AC44" s="193">
        <f t="shared" si="5"/>
        <v>2.9800000000000009</v>
      </c>
      <c r="AD44" s="193">
        <f t="shared" si="5"/>
        <v>2.5142857142857138</v>
      </c>
      <c r="AE44" s="193">
        <f t="shared" si="5"/>
        <v>1.7114285714285711</v>
      </c>
      <c r="AF44" s="193">
        <f t="shared" si="5"/>
        <v>1.3457142857142856</v>
      </c>
      <c r="AG44" s="193">
        <f t="shared" si="5"/>
        <v>7</v>
      </c>
      <c r="AH44" s="193">
        <f t="shared" si="5"/>
        <v>3.9199999999999995</v>
      </c>
      <c r="AI44" s="193">
        <f t="shared" si="4"/>
        <v>4.8371428571428572</v>
      </c>
      <c r="AJ44" s="193">
        <f t="shared" si="4"/>
        <v>4.7</v>
      </c>
      <c r="AK44" s="193">
        <f t="shared" si="4"/>
        <v>4.9428571428571431</v>
      </c>
      <c r="AL44" s="193">
        <f t="shared" si="4"/>
        <v>78.237499999999997</v>
      </c>
    </row>
    <row r="45" spans="1:69">
      <c r="B45" s="81" t="s">
        <v>697</v>
      </c>
      <c r="E45" s="191"/>
      <c r="F45" s="191"/>
      <c r="I45" s="192"/>
      <c r="J45" s="192"/>
      <c r="N45" s="193"/>
      <c r="O45" s="193"/>
      <c r="P45" s="204"/>
      <c r="Q45" s="204"/>
      <c r="R45" s="204"/>
      <c r="T45" s="198"/>
      <c r="U45" s="204"/>
      <c r="V45" s="204"/>
      <c r="W45" s="205">
        <f t="shared" ref="W45:AL45" si="6">W44/W2</f>
        <v>0.67614285714285738</v>
      </c>
      <c r="X45" s="205">
        <f t="shared" si="6"/>
        <v>0.77614285714285725</v>
      </c>
      <c r="Y45" s="205">
        <f t="shared" si="6"/>
        <v>0.99828571428571422</v>
      </c>
      <c r="Z45" s="205">
        <f t="shared" si="6"/>
        <v>1</v>
      </c>
      <c r="AA45" s="205">
        <f t="shared" si="6"/>
        <v>0.65357142857142836</v>
      </c>
      <c r="AB45" s="205">
        <f t="shared" si="6"/>
        <v>0.72857142857142854</v>
      </c>
      <c r="AC45" s="205">
        <f t="shared" si="6"/>
        <v>0.74500000000000022</v>
      </c>
      <c r="AD45" s="205">
        <f t="shared" si="6"/>
        <v>0.62857142857142845</v>
      </c>
      <c r="AE45" s="205">
        <f t="shared" si="6"/>
        <v>0.85571428571428554</v>
      </c>
      <c r="AF45" s="205">
        <f t="shared" si="6"/>
        <v>0.67285714285714282</v>
      </c>
      <c r="AG45" s="205">
        <f t="shared" si="6"/>
        <v>0.7</v>
      </c>
      <c r="AH45" s="205">
        <f t="shared" si="6"/>
        <v>0.78399999999999992</v>
      </c>
      <c r="AI45" s="205">
        <f t="shared" si="6"/>
        <v>0.96742857142857142</v>
      </c>
      <c r="AJ45" s="205">
        <f t="shared" si="6"/>
        <v>0.94000000000000006</v>
      </c>
      <c r="AK45" s="205">
        <f t="shared" si="6"/>
        <v>0.98857142857142866</v>
      </c>
      <c r="AL45" s="205">
        <f t="shared" si="6"/>
        <v>0.78237499999999993</v>
      </c>
    </row>
    <row r="46" spans="1:69">
      <c r="E46" s="191"/>
      <c r="F46" s="191"/>
      <c r="I46" s="192"/>
      <c r="J46" s="192"/>
      <c r="N46" s="193"/>
      <c r="O46" s="193"/>
      <c r="P46" s="193"/>
      <c r="Q46" s="193"/>
      <c r="R46" s="193"/>
      <c r="U46" s="193"/>
      <c r="V46" s="193"/>
      <c r="W46" s="194"/>
      <c r="X46" s="193"/>
      <c r="Y46" s="193"/>
      <c r="Z46" s="193"/>
      <c r="AH46" s="193"/>
      <c r="AI46" s="193"/>
      <c r="AJ46" s="193"/>
    </row>
    <row r="47" spans="1:69">
      <c r="B47" s="198"/>
      <c r="E47" s="191"/>
      <c r="F47" s="191"/>
      <c r="I47" s="192"/>
      <c r="J47" s="192"/>
      <c r="N47" s="193"/>
      <c r="O47" s="193"/>
      <c r="P47" s="193"/>
      <c r="Q47" s="193"/>
      <c r="R47" s="193"/>
      <c r="T47" s="198"/>
      <c r="U47" s="193"/>
      <c r="V47" s="193"/>
      <c r="W47" s="192"/>
      <c r="X47" s="193"/>
      <c r="Y47" s="193"/>
      <c r="Z47" s="193"/>
      <c r="AH47" s="193"/>
      <c r="AI47" s="193"/>
      <c r="AJ47" s="193"/>
    </row>
    <row r="51" spans="1:69">
      <c r="H51" s="160"/>
      <c r="I51" s="160"/>
      <c r="J51" s="160"/>
      <c r="O51" s="160"/>
      <c r="P51" s="160"/>
      <c r="Q51" s="160"/>
    </row>
    <row r="52" spans="1:69">
      <c r="H52" s="160"/>
      <c r="I52" s="160"/>
      <c r="J52" s="160"/>
      <c r="O52" s="160"/>
      <c r="P52" s="160"/>
      <c r="Q52" s="160"/>
    </row>
    <row r="53" spans="1:69">
      <c r="H53" s="160"/>
      <c r="I53" s="160"/>
      <c r="J53" s="160"/>
      <c r="O53" s="160"/>
      <c r="P53" s="160"/>
      <c r="Q53" s="160"/>
    </row>
    <row r="54" spans="1:69">
      <c r="H54" s="160"/>
      <c r="I54" s="160"/>
      <c r="J54" s="160"/>
      <c r="O54" s="160"/>
      <c r="P54" s="160"/>
      <c r="Q54" s="160"/>
    </row>
    <row r="55" spans="1:69" s="192" customFormat="1">
      <c r="A55" s="81"/>
      <c r="B55" s="81"/>
      <c r="C55" s="201"/>
      <c r="D55" s="201"/>
      <c r="H55" s="160"/>
      <c r="I55" s="160"/>
      <c r="J55" s="160"/>
      <c r="O55" s="160"/>
      <c r="P55" s="160"/>
      <c r="Q55" s="160"/>
      <c r="S55" s="81"/>
      <c r="T55" s="81"/>
      <c r="U55" s="81"/>
      <c r="V55" s="81"/>
      <c r="W55" s="203"/>
      <c r="X55" s="81"/>
      <c r="Y55" s="81"/>
      <c r="Z55" s="81"/>
      <c r="AA55" s="81"/>
      <c r="AB55" s="81"/>
      <c r="AC55" s="81"/>
      <c r="AD55" s="81"/>
      <c r="AE55" s="81"/>
      <c r="AF55" s="81"/>
      <c r="AG55" s="81"/>
      <c r="AH55" s="81"/>
      <c r="AI55" s="81"/>
      <c r="AJ55" s="81"/>
      <c r="AK55" s="81"/>
      <c r="AL55" s="81"/>
      <c r="AM55" s="81"/>
      <c r="AN55" s="81"/>
      <c r="AO55" s="81"/>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row>
    <row r="56" spans="1:69" s="192" customFormat="1">
      <c r="A56" s="81"/>
      <c r="B56" s="81"/>
      <c r="C56" s="201"/>
      <c r="D56" s="201"/>
      <c r="H56" s="160"/>
      <c r="I56" s="160"/>
      <c r="J56" s="160"/>
      <c r="O56" s="160"/>
      <c r="P56" s="160"/>
      <c r="Q56" s="160"/>
      <c r="S56" s="81"/>
      <c r="T56" s="81"/>
      <c r="U56" s="81"/>
      <c r="V56" s="81"/>
      <c r="W56" s="203"/>
      <c r="X56" s="81"/>
      <c r="Y56" s="81"/>
      <c r="Z56" s="81"/>
      <c r="AA56" s="81"/>
      <c r="AB56" s="81"/>
      <c r="AC56" s="81"/>
      <c r="AD56" s="81"/>
      <c r="AE56" s="81"/>
      <c r="AF56" s="81"/>
      <c r="AG56" s="81"/>
      <c r="AH56" s="81"/>
      <c r="AI56" s="81"/>
      <c r="AJ56" s="81"/>
      <c r="AK56" s="81"/>
      <c r="AL56" s="81"/>
      <c r="AM56" s="81"/>
      <c r="AN56" s="81"/>
      <c r="AO56" s="81"/>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row>
    <row r="57" spans="1:69" s="192" customFormat="1">
      <c r="A57" s="81"/>
      <c r="B57" s="81"/>
      <c r="C57" s="201"/>
      <c r="D57" s="201"/>
      <c r="H57" s="160"/>
      <c r="I57" s="160"/>
      <c r="J57" s="160"/>
      <c r="O57" s="160"/>
      <c r="P57" s="160"/>
      <c r="Q57" s="160"/>
      <c r="S57" s="81"/>
      <c r="T57" s="81"/>
      <c r="U57" s="81"/>
      <c r="V57" s="81"/>
      <c r="W57" s="203"/>
      <c r="X57" s="81"/>
      <c r="Y57" s="81"/>
      <c r="Z57" s="81"/>
      <c r="AA57" s="81"/>
      <c r="AB57" s="81"/>
      <c r="AC57" s="81"/>
      <c r="AD57" s="81"/>
      <c r="AE57" s="81"/>
      <c r="AF57" s="81"/>
      <c r="AG57" s="81"/>
      <c r="AH57" s="81"/>
      <c r="AI57" s="81"/>
      <c r="AJ57" s="81"/>
      <c r="AK57" s="81"/>
      <c r="AL57" s="81"/>
      <c r="AM57" s="81"/>
      <c r="AN57" s="81"/>
      <c r="AO57" s="81"/>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row>
    <row r="58" spans="1:69" s="192" customFormat="1">
      <c r="A58" s="81"/>
      <c r="B58" s="81"/>
      <c r="C58" s="201"/>
      <c r="D58" s="201"/>
      <c r="H58" s="160"/>
      <c r="I58" s="160"/>
      <c r="J58" s="160"/>
      <c r="O58" s="160"/>
      <c r="P58" s="160"/>
      <c r="Q58" s="160"/>
      <c r="S58" s="81"/>
      <c r="T58" s="81"/>
      <c r="U58" s="81"/>
      <c r="V58" s="81"/>
      <c r="W58" s="203"/>
      <c r="X58" s="81"/>
      <c r="Y58" s="81"/>
      <c r="Z58" s="81"/>
      <c r="AA58" s="81"/>
      <c r="AB58" s="81"/>
      <c r="AC58" s="81"/>
      <c r="AD58" s="81"/>
      <c r="AE58" s="81"/>
      <c r="AF58" s="81"/>
      <c r="AG58" s="81"/>
      <c r="AH58" s="81"/>
      <c r="AI58" s="81"/>
      <c r="AJ58" s="81"/>
      <c r="AK58" s="81"/>
      <c r="AL58" s="81"/>
      <c r="AM58" s="81"/>
      <c r="AN58" s="81"/>
      <c r="AO58" s="81"/>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row>
    <row r="59" spans="1:69" s="192" customFormat="1">
      <c r="A59" s="81"/>
      <c r="B59" s="81"/>
      <c r="C59" s="201"/>
      <c r="D59" s="201"/>
      <c r="H59" s="160"/>
      <c r="I59" s="160"/>
      <c r="J59" s="160"/>
      <c r="O59" s="160"/>
      <c r="P59" s="160"/>
      <c r="Q59" s="160"/>
      <c r="S59" s="81"/>
      <c r="T59" s="81"/>
      <c r="U59" s="81"/>
      <c r="V59" s="81"/>
      <c r="W59" s="203"/>
      <c r="X59" s="81"/>
      <c r="Y59" s="81"/>
      <c r="Z59" s="81"/>
      <c r="AA59" s="81"/>
      <c r="AB59" s="81"/>
      <c r="AC59" s="81"/>
      <c r="AD59" s="81"/>
      <c r="AE59" s="81"/>
      <c r="AF59" s="81"/>
      <c r="AG59" s="81"/>
      <c r="AH59" s="81"/>
      <c r="AI59" s="81"/>
      <c r="AJ59" s="81"/>
      <c r="AK59" s="81"/>
      <c r="AL59" s="81"/>
      <c r="AM59" s="81"/>
      <c r="AN59" s="81"/>
      <c r="AO59" s="81"/>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row>
    <row r="60" spans="1:69" s="192" customFormat="1">
      <c r="A60" s="81"/>
      <c r="B60" s="81"/>
      <c r="C60" s="201"/>
      <c r="D60" s="201"/>
      <c r="H60" s="160"/>
      <c r="I60" s="160"/>
      <c r="J60" s="160"/>
      <c r="O60" s="160"/>
      <c r="P60" s="160"/>
      <c r="Q60" s="160"/>
      <c r="S60" s="81"/>
      <c r="T60" s="81"/>
      <c r="U60" s="81"/>
      <c r="V60" s="81"/>
      <c r="W60" s="203"/>
      <c r="X60" s="81"/>
      <c r="Y60" s="81"/>
      <c r="Z60" s="81"/>
      <c r="AA60" s="81"/>
      <c r="AB60" s="81"/>
      <c r="AC60" s="81"/>
      <c r="AD60" s="81"/>
      <c r="AE60" s="81"/>
      <c r="AF60" s="81"/>
      <c r="AG60" s="81"/>
      <c r="AH60" s="81"/>
      <c r="AI60" s="81"/>
      <c r="AJ60" s="81"/>
      <c r="AK60" s="81"/>
      <c r="AL60" s="81"/>
      <c r="AM60" s="81"/>
      <c r="AN60" s="81"/>
      <c r="AO60" s="81"/>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row>
    <row r="61" spans="1:69" s="192" customFormat="1">
      <c r="A61" s="81"/>
      <c r="B61" s="81"/>
      <c r="C61" s="201"/>
      <c r="D61" s="201"/>
      <c r="H61" s="160"/>
      <c r="I61" s="160"/>
      <c r="J61" s="160"/>
      <c r="O61" s="160"/>
      <c r="P61" s="160"/>
      <c r="Q61" s="160"/>
      <c r="S61" s="81"/>
      <c r="T61" s="81"/>
      <c r="U61" s="81"/>
      <c r="V61" s="81"/>
      <c r="W61" s="203"/>
      <c r="X61" s="81"/>
      <c r="Y61" s="81"/>
      <c r="Z61" s="81"/>
      <c r="AA61" s="81"/>
      <c r="AB61" s="81"/>
      <c r="AC61" s="81"/>
      <c r="AD61" s="81"/>
      <c r="AE61" s="81"/>
      <c r="AF61" s="81"/>
      <c r="AG61" s="81"/>
      <c r="AH61" s="81"/>
      <c r="AI61" s="81"/>
      <c r="AJ61" s="81"/>
      <c r="AK61" s="81"/>
      <c r="AL61" s="81"/>
      <c r="AM61" s="81"/>
      <c r="AN61" s="81"/>
      <c r="AO61" s="81"/>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row>
    <row r="62" spans="1:69" s="192" customFormat="1">
      <c r="A62" s="81"/>
      <c r="B62" s="81"/>
      <c r="C62" s="201"/>
      <c r="D62" s="201"/>
      <c r="H62" s="160"/>
      <c r="I62" s="160"/>
      <c r="J62" s="160"/>
      <c r="O62" s="160"/>
      <c r="P62" s="160"/>
      <c r="Q62" s="160"/>
      <c r="S62" s="81"/>
      <c r="T62" s="81"/>
      <c r="U62" s="81"/>
      <c r="V62" s="81"/>
      <c r="W62" s="203"/>
      <c r="X62" s="81"/>
      <c r="Y62" s="81"/>
      <c r="Z62" s="81"/>
      <c r="AA62" s="81"/>
      <c r="AB62" s="81"/>
      <c r="AC62" s="81"/>
      <c r="AD62" s="81"/>
      <c r="AE62" s="81"/>
      <c r="AF62" s="81"/>
      <c r="AG62" s="81"/>
      <c r="AH62" s="81"/>
      <c r="AI62" s="81"/>
      <c r="AJ62" s="81"/>
      <c r="AK62" s="81"/>
      <c r="AL62" s="81"/>
      <c r="AM62" s="81"/>
      <c r="AN62" s="81"/>
      <c r="AO62" s="81"/>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row>
    <row r="63" spans="1:69" s="192" customFormat="1">
      <c r="A63" s="81"/>
      <c r="B63" s="81"/>
      <c r="C63" s="201"/>
      <c r="D63" s="201"/>
      <c r="H63" s="160"/>
      <c r="I63" s="160"/>
      <c r="J63" s="160"/>
      <c r="O63" s="160"/>
      <c r="P63" s="160"/>
      <c r="Q63" s="160"/>
      <c r="S63" s="81"/>
      <c r="T63" s="81"/>
      <c r="U63" s="81"/>
      <c r="V63" s="81"/>
      <c r="W63" s="203"/>
      <c r="X63" s="81"/>
      <c r="Y63" s="81"/>
      <c r="Z63" s="81"/>
      <c r="AA63" s="81"/>
      <c r="AB63" s="81"/>
      <c r="AC63" s="81"/>
      <c r="AD63" s="81"/>
      <c r="AE63" s="81"/>
      <c r="AF63" s="81"/>
      <c r="AG63" s="81"/>
      <c r="AH63" s="81"/>
      <c r="AI63" s="81"/>
      <c r="AJ63" s="81"/>
      <c r="AK63" s="81"/>
      <c r="AL63" s="81"/>
      <c r="AM63" s="81"/>
      <c r="AN63" s="81"/>
      <c r="AO63" s="81"/>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row>
    <row r="64" spans="1:69" s="192" customFormat="1">
      <c r="A64" s="81"/>
      <c r="B64" s="81"/>
      <c r="C64" s="201"/>
      <c r="D64" s="201"/>
      <c r="H64" s="202"/>
      <c r="I64" s="202"/>
      <c r="J64" s="202"/>
      <c r="O64" s="202"/>
      <c r="P64" s="202"/>
      <c r="Q64" s="202"/>
      <c r="S64" s="81"/>
      <c r="T64" s="81"/>
      <c r="U64" s="81"/>
      <c r="V64" s="81"/>
      <c r="W64" s="203"/>
      <c r="X64" s="81"/>
      <c r="Y64" s="81"/>
      <c r="Z64" s="81"/>
      <c r="AA64" s="81"/>
      <c r="AB64" s="81"/>
      <c r="AC64" s="81"/>
      <c r="AD64" s="81"/>
      <c r="AE64" s="81"/>
      <c r="AF64" s="81"/>
      <c r="AG64" s="81"/>
      <c r="AH64" s="81"/>
      <c r="AI64" s="81"/>
      <c r="AJ64" s="81"/>
      <c r="AK64" s="81"/>
      <c r="AL64" s="81"/>
      <c r="AM64" s="81"/>
      <c r="AN64" s="81"/>
      <c r="AO64" s="81"/>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row>
    <row r="65" spans="1:69" s="192" customFormat="1">
      <c r="A65" s="81"/>
      <c r="B65" s="81"/>
      <c r="C65" s="201"/>
      <c r="D65" s="201"/>
      <c r="H65" s="202"/>
      <c r="I65" s="202"/>
      <c r="J65" s="202"/>
      <c r="O65" s="202"/>
      <c r="P65" s="202"/>
      <c r="Q65" s="202"/>
      <c r="S65" s="81"/>
      <c r="T65" s="81"/>
      <c r="U65" s="81"/>
      <c r="V65" s="81"/>
      <c r="W65" s="203"/>
      <c r="X65" s="81"/>
      <c r="Y65" s="81"/>
      <c r="Z65" s="81"/>
      <c r="AA65" s="81"/>
      <c r="AB65" s="81"/>
      <c r="AC65" s="81"/>
      <c r="AD65" s="81"/>
      <c r="AE65" s="81"/>
      <c r="AF65" s="81"/>
      <c r="AG65" s="81"/>
      <c r="AH65" s="81"/>
      <c r="AI65" s="81"/>
      <c r="AJ65" s="81"/>
      <c r="AK65" s="81"/>
      <c r="AL65" s="81"/>
      <c r="AM65" s="81"/>
      <c r="AN65" s="81"/>
      <c r="AO65" s="81"/>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row>
    <row r="66" spans="1:69" s="192" customFormat="1">
      <c r="A66" s="81"/>
      <c r="B66" s="81"/>
      <c r="C66" s="201"/>
      <c r="D66" s="201"/>
      <c r="H66" s="202"/>
      <c r="I66" s="202"/>
      <c r="J66" s="202"/>
      <c r="O66" s="202"/>
      <c r="P66" s="202"/>
      <c r="Q66" s="202"/>
      <c r="S66" s="81"/>
      <c r="T66" s="81"/>
      <c r="U66" s="81"/>
      <c r="V66" s="81"/>
      <c r="W66" s="203"/>
      <c r="X66" s="81"/>
      <c r="Y66" s="81"/>
      <c r="Z66" s="81"/>
      <c r="AA66" s="81"/>
      <c r="AB66" s="81"/>
      <c r="AC66" s="81"/>
      <c r="AD66" s="81"/>
      <c r="AE66" s="81"/>
      <c r="AF66" s="81"/>
      <c r="AG66" s="81"/>
      <c r="AH66" s="81"/>
      <c r="AI66" s="81"/>
      <c r="AJ66" s="81"/>
      <c r="AK66" s="81"/>
      <c r="AL66" s="81"/>
      <c r="AM66" s="81"/>
      <c r="AN66" s="81"/>
      <c r="AO66" s="81"/>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row>
    <row r="67" spans="1:69" s="192" customFormat="1">
      <c r="A67" s="81"/>
      <c r="B67" s="81"/>
      <c r="C67" s="201"/>
      <c r="D67" s="201"/>
      <c r="H67" s="202"/>
      <c r="I67" s="202"/>
      <c r="J67" s="202"/>
      <c r="O67" s="202"/>
      <c r="P67" s="202"/>
      <c r="Q67" s="202"/>
      <c r="S67" s="81"/>
      <c r="T67" s="81"/>
      <c r="U67" s="81"/>
      <c r="V67" s="81"/>
      <c r="W67" s="203"/>
      <c r="X67" s="81"/>
      <c r="Y67" s="81"/>
      <c r="Z67" s="81"/>
      <c r="AA67" s="81"/>
      <c r="AB67" s="81"/>
      <c r="AC67" s="81"/>
      <c r="AD67" s="81"/>
      <c r="AE67" s="81"/>
      <c r="AF67" s="81"/>
      <c r="AG67" s="81"/>
      <c r="AH67" s="81"/>
      <c r="AI67" s="81"/>
      <c r="AJ67" s="81"/>
      <c r="AK67" s="81"/>
      <c r="AL67" s="81"/>
      <c r="AM67" s="81"/>
      <c r="AN67" s="81"/>
      <c r="AO67" s="81"/>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row>
    <row r="68" spans="1:69" s="192" customFormat="1">
      <c r="A68" s="81"/>
      <c r="B68" s="81"/>
      <c r="C68" s="201"/>
      <c r="D68" s="201"/>
      <c r="H68" s="202"/>
      <c r="I68" s="202"/>
      <c r="J68" s="202"/>
      <c r="O68" s="202"/>
      <c r="P68" s="202"/>
      <c r="Q68" s="202"/>
      <c r="S68" s="81"/>
      <c r="T68" s="81"/>
      <c r="U68" s="81"/>
      <c r="V68" s="81"/>
      <c r="W68" s="203"/>
      <c r="X68" s="81"/>
      <c r="Y68" s="81"/>
      <c r="Z68" s="81"/>
      <c r="AA68" s="81"/>
      <c r="AB68" s="81"/>
      <c r="AC68" s="81"/>
      <c r="AD68" s="81"/>
      <c r="AE68" s="81"/>
      <c r="AF68" s="81"/>
      <c r="AG68" s="81"/>
      <c r="AH68" s="81"/>
      <c r="AI68" s="81"/>
      <c r="AJ68" s="81"/>
      <c r="AK68" s="81"/>
      <c r="AL68" s="81"/>
      <c r="AM68" s="81"/>
      <c r="AN68" s="81"/>
      <c r="AO68" s="81"/>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row>
    <row r="69" spans="1:69" s="192" customFormat="1">
      <c r="A69" s="81"/>
      <c r="B69" s="81"/>
      <c r="C69" s="201"/>
      <c r="D69" s="201"/>
      <c r="H69" s="202"/>
      <c r="I69" s="202"/>
      <c r="J69" s="202"/>
      <c r="O69" s="202"/>
      <c r="P69" s="202"/>
      <c r="Q69" s="202"/>
      <c r="S69" s="81"/>
      <c r="T69" s="81"/>
      <c r="U69" s="81"/>
      <c r="V69" s="81"/>
      <c r="W69" s="203"/>
      <c r="X69" s="81"/>
      <c r="Y69" s="81"/>
      <c r="Z69" s="81"/>
      <c r="AA69" s="81"/>
      <c r="AB69" s="81"/>
      <c r="AC69" s="81"/>
      <c r="AD69" s="81"/>
      <c r="AE69" s="81"/>
      <c r="AF69" s="81"/>
      <c r="AG69" s="81"/>
      <c r="AH69" s="81"/>
      <c r="AI69" s="81"/>
      <c r="AJ69" s="81"/>
      <c r="AK69" s="81"/>
      <c r="AL69" s="81"/>
      <c r="AM69" s="81"/>
      <c r="AN69" s="81"/>
      <c r="AO69" s="81"/>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row>
  </sheetData>
  <sortState ref="A32:BQ38">
    <sortCondition ref="E32:E38"/>
  </sortState>
  <phoneticPr fontId="3"/>
  <conditionalFormatting sqref="BA3:BA39 AU3:AU38">
    <cfRule type="cellIs" dxfId="5" priority="2" stopIfTrue="1" operator="lessThanOrEqual">
      <formula>12</formula>
    </cfRule>
  </conditionalFormatting>
  <conditionalFormatting sqref="BO3:BO38 BI3:BI38">
    <cfRule type="cellIs" dxfId="4" priority="1" stopIfTrue="1" operator="lessThanOrEqual">
      <formula>11</formula>
    </cfRule>
  </conditionalFormatting>
  <pageMargins left="0.23" right="0.2" top="0.98399999999999999" bottom="0.98399999999999999" header="0.51200000000000001" footer="0.51200000000000001"/>
  <pageSetup paperSize="9" scale="48"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sheetPr>
    <pageSetUpPr fitToPage="1"/>
  </sheetPr>
  <dimension ref="A1:BR67"/>
  <sheetViews>
    <sheetView tabSelected="1" view="pageBreakPreview" topLeftCell="W19" zoomScale="130" zoomScaleNormal="100" zoomScaleSheetLayoutView="130" workbookViewId="0">
      <selection activeCell="AK32" sqref="AK32"/>
    </sheetView>
  </sheetViews>
  <sheetFormatPr defaultRowHeight="13.5"/>
  <cols>
    <col min="1" max="1" width="3.75" style="189" bestFit="1" customWidth="1"/>
    <col min="2" max="2" width="15.625" style="253" bestFit="1" customWidth="1"/>
    <col min="3" max="3" width="5.75" style="253" customWidth="1"/>
    <col min="4" max="4" width="4.375" style="254" customWidth="1"/>
    <col min="5" max="5" width="8.25" style="254" hidden="1" customWidth="1"/>
    <col min="6" max="6" width="7.875" style="254" hidden="1" customWidth="1"/>
    <col min="7" max="9" width="7.5" style="255" hidden="1" customWidth="1"/>
    <col min="10" max="12" width="7.25" style="254" hidden="1" customWidth="1"/>
    <col min="13" max="13" width="8.125" style="254" hidden="1" customWidth="1"/>
    <col min="14" max="16" width="7.5" style="255" hidden="1" customWidth="1"/>
    <col min="17" max="17" width="7.25" style="254" hidden="1" customWidth="1"/>
    <col min="18" max="21" width="7.125" style="189" hidden="1" customWidth="1"/>
    <col min="22" max="22" width="7.125" style="256" hidden="1" customWidth="1"/>
    <col min="23" max="38" width="5.5" style="189" customWidth="1"/>
    <col min="39" max="39" width="6" style="189" customWidth="1"/>
    <col min="40" max="40" width="10.5" style="189" bestFit="1" customWidth="1"/>
    <col min="41" max="41" width="5.75" style="189" customWidth="1"/>
    <col min="42" max="42" width="9" style="189"/>
    <col min="43" max="16384" width="9" style="250"/>
  </cols>
  <sheetData>
    <row r="1" spans="1:70" s="184" customFormat="1">
      <c r="A1" s="212" t="s">
        <v>87</v>
      </c>
      <c r="B1" s="212" t="s">
        <v>88</v>
      </c>
      <c r="C1" s="213" t="s">
        <v>732</v>
      </c>
      <c r="D1" s="213" t="s">
        <v>228</v>
      </c>
      <c r="E1" s="214" t="s">
        <v>616</v>
      </c>
      <c r="F1" s="214" t="s">
        <v>617</v>
      </c>
      <c r="G1" s="214" t="s">
        <v>618</v>
      </c>
      <c r="H1" s="206" t="s">
        <v>91</v>
      </c>
      <c r="I1" s="206" t="s">
        <v>92</v>
      </c>
      <c r="J1" s="206" t="s">
        <v>239</v>
      </c>
      <c r="K1" s="214" t="s">
        <v>240</v>
      </c>
      <c r="L1" s="214" t="s">
        <v>619</v>
      </c>
      <c r="M1" s="214" t="s">
        <v>620</v>
      </c>
      <c r="N1" s="214" t="s">
        <v>621</v>
      </c>
      <c r="O1" s="206" t="s">
        <v>93</v>
      </c>
      <c r="P1" s="206" t="s">
        <v>94</v>
      </c>
      <c r="Q1" s="206" t="s">
        <v>241</v>
      </c>
      <c r="R1" s="214" t="s">
        <v>242</v>
      </c>
      <c r="S1" s="212" t="s">
        <v>650</v>
      </c>
      <c r="T1" s="212" t="s">
        <v>651</v>
      </c>
      <c r="U1" s="212" t="s">
        <v>594</v>
      </c>
      <c r="V1" s="212" t="s">
        <v>291</v>
      </c>
      <c r="W1" s="235" t="s">
        <v>565</v>
      </c>
      <c r="X1" s="236" t="s">
        <v>566</v>
      </c>
      <c r="Y1" s="236" t="s">
        <v>0</v>
      </c>
      <c r="Z1" s="236" t="s">
        <v>1</v>
      </c>
      <c r="AA1" s="212" t="s">
        <v>757</v>
      </c>
      <c r="AB1" s="212" t="s">
        <v>745</v>
      </c>
      <c r="AC1" s="212" t="s">
        <v>746</v>
      </c>
      <c r="AD1" s="212" t="s">
        <v>214</v>
      </c>
      <c r="AE1" s="212" t="s">
        <v>8</v>
      </c>
      <c r="AF1" s="236" t="s">
        <v>758</v>
      </c>
      <c r="AG1" s="236" t="s">
        <v>759</v>
      </c>
      <c r="AH1" s="212" t="s">
        <v>567</v>
      </c>
      <c r="AI1" s="212" t="s">
        <v>760</v>
      </c>
      <c r="AJ1" s="212" t="s">
        <v>3</v>
      </c>
      <c r="AK1" s="212" t="s">
        <v>11</v>
      </c>
      <c r="AL1" s="236" t="s">
        <v>12</v>
      </c>
      <c r="AM1" s="236" t="s">
        <v>98</v>
      </c>
      <c r="AN1" s="212" t="s">
        <v>105</v>
      </c>
      <c r="AO1" s="292"/>
      <c r="AP1" s="184" t="s">
        <v>190</v>
      </c>
      <c r="AQ1" s="184" t="s">
        <v>289</v>
      </c>
      <c r="AW1" s="184" t="s">
        <v>288</v>
      </c>
      <c r="BB1" s="184" t="s">
        <v>654</v>
      </c>
      <c r="BC1" s="184" t="s">
        <v>653</v>
      </c>
      <c r="BD1" s="184" t="s">
        <v>656</v>
      </c>
      <c r="BE1" s="184" t="s">
        <v>286</v>
      </c>
      <c r="BK1" s="184" t="s">
        <v>287</v>
      </c>
      <c r="BP1" s="184" t="s">
        <v>655</v>
      </c>
      <c r="BQ1" s="184" t="s">
        <v>657</v>
      </c>
      <c r="BR1" s="184" t="s">
        <v>658</v>
      </c>
    </row>
    <row r="2" spans="1:70" s="247" customFormat="1" ht="14.25" thickBot="1">
      <c r="A2" s="259"/>
      <c r="B2" s="285" t="s">
        <v>649</v>
      </c>
      <c r="C2" s="260"/>
      <c r="D2" s="260"/>
      <c r="E2" s="261"/>
      <c r="F2" s="261"/>
      <c r="G2" s="261"/>
      <c r="H2" s="262"/>
      <c r="I2" s="262"/>
      <c r="J2" s="262"/>
      <c r="K2" s="261"/>
      <c r="L2" s="261"/>
      <c r="M2" s="261"/>
      <c r="N2" s="261"/>
      <c r="O2" s="262"/>
      <c r="P2" s="262"/>
      <c r="Q2" s="262"/>
      <c r="R2" s="261"/>
      <c r="S2" s="263">
        <v>1</v>
      </c>
      <c r="T2" s="263">
        <v>1</v>
      </c>
      <c r="U2" s="287">
        <v>6</v>
      </c>
      <c r="V2" s="287">
        <v>4</v>
      </c>
      <c r="W2" s="264">
        <v>20</v>
      </c>
      <c r="X2" s="264">
        <v>20</v>
      </c>
      <c r="Y2" s="264">
        <v>5</v>
      </c>
      <c r="Z2" s="264">
        <v>5</v>
      </c>
      <c r="AA2" s="263">
        <v>4</v>
      </c>
      <c r="AB2" s="263">
        <v>4</v>
      </c>
      <c r="AC2" s="263">
        <v>4</v>
      </c>
      <c r="AD2" s="263">
        <v>4</v>
      </c>
      <c r="AE2" s="263">
        <v>2</v>
      </c>
      <c r="AF2" s="264">
        <v>2</v>
      </c>
      <c r="AG2" s="264">
        <v>10</v>
      </c>
      <c r="AH2" s="263">
        <v>5</v>
      </c>
      <c r="AI2" s="263">
        <v>5</v>
      </c>
      <c r="AJ2" s="263">
        <v>5</v>
      </c>
      <c r="AK2" s="263">
        <v>5</v>
      </c>
      <c r="AL2" s="264">
        <v>100</v>
      </c>
      <c r="AM2" s="265"/>
      <c r="AN2" s="259"/>
      <c r="AO2" s="293"/>
      <c r="AQ2" s="247">
        <v>1</v>
      </c>
      <c r="AR2" s="247">
        <v>2</v>
      </c>
      <c r="AS2" s="247">
        <v>3</v>
      </c>
      <c r="AT2" s="247">
        <v>4</v>
      </c>
      <c r="AU2" s="247">
        <v>5</v>
      </c>
      <c r="AV2" s="247" t="s">
        <v>623</v>
      </c>
      <c r="AW2" s="247">
        <v>1</v>
      </c>
      <c r="AX2" s="247">
        <v>2</v>
      </c>
      <c r="AY2" s="247">
        <v>3</v>
      </c>
      <c r="AZ2" s="247">
        <v>4</v>
      </c>
      <c r="BA2" s="247">
        <v>5</v>
      </c>
      <c r="BB2" s="247" t="s">
        <v>623</v>
      </c>
      <c r="BE2" s="247">
        <v>1</v>
      </c>
      <c r="BF2" s="247">
        <v>2</v>
      </c>
      <c r="BG2" s="247">
        <v>3</v>
      </c>
      <c r="BH2" s="247">
        <v>4</v>
      </c>
      <c r="BI2" s="247">
        <v>5</v>
      </c>
      <c r="BJ2" s="247" t="s">
        <v>623</v>
      </c>
      <c r="BK2" s="247">
        <v>1</v>
      </c>
      <c r="BL2" s="247">
        <v>2</v>
      </c>
      <c r="BM2" s="247">
        <v>3</v>
      </c>
      <c r="BN2" s="247">
        <v>4</v>
      </c>
      <c r="BO2" s="247">
        <v>5</v>
      </c>
      <c r="BP2" s="247" t="s">
        <v>623</v>
      </c>
    </row>
    <row r="3" spans="1:70">
      <c r="A3" s="227" t="s">
        <v>733</v>
      </c>
      <c r="B3" s="227" t="s">
        <v>123</v>
      </c>
      <c r="C3" s="228" t="s">
        <v>661</v>
      </c>
      <c r="D3" s="228">
        <v>4</v>
      </c>
      <c r="E3" s="229">
        <v>0.53611111111111109</v>
      </c>
      <c r="F3" s="229">
        <v>0.55762731481481487</v>
      </c>
      <c r="G3" s="229">
        <v>0.65900462962962958</v>
      </c>
      <c r="H3" s="210">
        <v>2.1516203703703773E-2</v>
      </c>
      <c r="I3" s="210">
        <v>6.94444444444553E-4</v>
      </c>
      <c r="J3" s="210">
        <v>0.12289351851851849</v>
      </c>
      <c r="K3" s="229">
        <v>0.13194444444444445</v>
      </c>
      <c r="L3" s="229">
        <v>0.32361111111111113</v>
      </c>
      <c r="M3" s="229">
        <v>0.3395023148148148</v>
      </c>
      <c r="N3" s="229"/>
      <c r="O3" s="210">
        <v>1.5891203703703671E-2</v>
      </c>
      <c r="P3" s="210">
        <v>0</v>
      </c>
      <c r="Q3" s="210">
        <v>-0.32361111111111113</v>
      </c>
      <c r="R3" s="229">
        <v>0.15972222222222224</v>
      </c>
      <c r="S3" s="230">
        <v>0.8</v>
      </c>
      <c r="T3" s="230">
        <v>1</v>
      </c>
      <c r="U3" s="230">
        <v>6</v>
      </c>
      <c r="V3" s="230">
        <v>4</v>
      </c>
      <c r="W3" s="240">
        <v>19.5</v>
      </c>
      <c r="X3" s="240">
        <v>20</v>
      </c>
      <c r="Y3" s="240">
        <v>5</v>
      </c>
      <c r="Z3" s="240">
        <v>5</v>
      </c>
      <c r="AA3" s="230">
        <v>3.9</v>
      </c>
      <c r="AB3" s="230">
        <v>4</v>
      </c>
      <c r="AC3" s="230">
        <v>3.7</v>
      </c>
      <c r="AD3" s="230">
        <v>3.3</v>
      </c>
      <c r="AE3" s="230">
        <v>2</v>
      </c>
      <c r="AF3" s="240">
        <v>1.8</v>
      </c>
      <c r="AG3" s="240">
        <v>10</v>
      </c>
      <c r="AH3" s="230">
        <v>5</v>
      </c>
      <c r="AI3" s="230">
        <v>5</v>
      </c>
      <c r="AJ3" s="230">
        <v>5</v>
      </c>
      <c r="AK3" s="230">
        <v>5</v>
      </c>
      <c r="AL3" s="240">
        <v>98.2</v>
      </c>
      <c r="AM3" s="245">
        <v>1</v>
      </c>
      <c r="AN3" s="227"/>
      <c r="AO3" s="294"/>
      <c r="AP3" s="189">
        <v>1</v>
      </c>
      <c r="AQ3" s="248">
        <v>12.9</v>
      </c>
      <c r="AR3" s="248">
        <v>10.9</v>
      </c>
      <c r="AS3" s="248">
        <v>12.9</v>
      </c>
      <c r="AT3" s="248">
        <v>11.7</v>
      </c>
      <c r="AU3" s="248"/>
      <c r="AV3" s="249">
        <v>12.100000000000001</v>
      </c>
      <c r="AW3" s="248">
        <v>12.84</v>
      </c>
      <c r="AX3" s="248">
        <v>10.9</v>
      </c>
      <c r="AY3" s="248">
        <v>11.77</v>
      </c>
      <c r="AZ3" s="248">
        <v>12.94</v>
      </c>
      <c r="BB3" s="251">
        <v>12.112500000000001</v>
      </c>
      <c r="BC3" s="252">
        <v>12</v>
      </c>
      <c r="BD3" s="252">
        <v>0</v>
      </c>
      <c r="BE3" s="248"/>
      <c r="BF3" s="248"/>
      <c r="BG3" s="248"/>
      <c r="BH3" s="248"/>
      <c r="BJ3" s="251" t="e">
        <v>#DIV/0!</v>
      </c>
      <c r="BK3" s="248">
        <v>11.75</v>
      </c>
      <c r="BL3" s="248">
        <v>9.9</v>
      </c>
      <c r="BM3" s="248">
        <v>12.3</v>
      </c>
      <c r="BN3" s="248">
        <v>10.65</v>
      </c>
      <c r="BO3" s="248"/>
      <c r="BP3" s="251">
        <v>11.15</v>
      </c>
      <c r="BQ3" s="252">
        <v>11</v>
      </c>
      <c r="BR3" s="252">
        <v>0</v>
      </c>
    </row>
    <row r="4" spans="1:70">
      <c r="A4" s="218" t="s">
        <v>733</v>
      </c>
      <c r="B4" s="218" t="s">
        <v>126</v>
      </c>
      <c r="C4" s="219" t="s">
        <v>280</v>
      </c>
      <c r="D4" s="219">
        <v>4</v>
      </c>
      <c r="E4" s="220">
        <v>0.53472222222222221</v>
      </c>
      <c r="F4" s="220">
        <v>0.55554398148148143</v>
      </c>
      <c r="G4" s="220">
        <v>0.65425925925925921</v>
      </c>
      <c r="H4" s="208">
        <v>2.082175925925922E-2</v>
      </c>
      <c r="I4" s="208">
        <v>0</v>
      </c>
      <c r="J4" s="208">
        <v>0.119537037037037</v>
      </c>
      <c r="K4" s="220">
        <v>0.13194444444444445</v>
      </c>
      <c r="L4" s="220">
        <v>0.32291666666666669</v>
      </c>
      <c r="M4" s="220">
        <v>0.3392592592592592</v>
      </c>
      <c r="N4" s="220"/>
      <c r="O4" s="208">
        <v>1.634259259259252E-2</v>
      </c>
      <c r="P4" s="208">
        <v>4.5138888888884843E-4</v>
      </c>
      <c r="Q4" s="208">
        <v>-0.32291666666666669</v>
      </c>
      <c r="R4" s="220">
        <v>0.15972222222222224</v>
      </c>
      <c r="S4" s="221">
        <v>1</v>
      </c>
      <c r="T4" s="221">
        <v>1</v>
      </c>
      <c r="U4" s="221">
        <v>5</v>
      </c>
      <c r="V4" s="221">
        <v>4</v>
      </c>
      <c r="W4" s="238">
        <v>20</v>
      </c>
      <c r="X4" s="238">
        <v>19.7</v>
      </c>
      <c r="Y4" s="238">
        <v>5</v>
      </c>
      <c r="Z4" s="238">
        <v>5</v>
      </c>
      <c r="AA4" s="221">
        <v>4</v>
      </c>
      <c r="AB4" s="221">
        <v>3.9</v>
      </c>
      <c r="AC4" s="221">
        <v>3.7</v>
      </c>
      <c r="AD4" s="221">
        <v>3.6</v>
      </c>
      <c r="AE4" s="221">
        <v>2</v>
      </c>
      <c r="AF4" s="238">
        <v>2</v>
      </c>
      <c r="AG4" s="238">
        <v>9</v>
      </c>
      <c r="AH4" s="221">
        <v>5</v>
      </c>
      <c r="AI4" s="221">
        <v>5</v>
      </c>
      <c r="AJ4" s="221">
        <v>5</v>
      </c>
      <c r="AK4" s="221">
        <v>5</v>
      </c>
      <c r="AL4" s="238">
        <v>97.9</v>
      </c>
      <c r="AM4" s="243">
        <v>2</v>
      </c>
      <c r="AN4" s="218"/>
      <c r="AO4" s="294"/>
      <c r="AP4" s="189">
        <v>2</v>
      </c>
      <c r="AQ4" s="248">
        <v>13.25</v>
      </c>
      <c r="AR4" s="248">
        <v>10.199999999999999</v>
      </c>
      <c r="AS4" s="248">
        <v>12.2</v>
      </c>
      <c r="AT4" s="248">
        <v>13.15</v>
      </c>
      <c r="AU4" s="248"/>
      <c r="AV4" s="249">
        <v>12.2</v>
      </c>
      <c r="AW4" s="248">
        <v>13.34</v>
      </c>
      <c r="AX4" s="248">
        <v>13.19</v>
      </c>
      <c r="AY4" s="248">
        <v>12.26</v>
      </c>
      <c r="AZ4" s="248">
        <v>10.23</v>
      </c>
      <c r="BB4" s="251">
        <v>12.254999999999999</v>
      </c>
      <c r="BC4" s="252">
        <v>12</v>
      </c>
      <c r="BD4" s="252">
        <v>0</v>
      </c>
      <c r="BE4" s="248"/>
      <c r="BF4" s="248"/>
      <c r="BG4" s="248"/>
      <c r="BH4" s="248"/>
      <c r="BJ4" s="251" t="e">
        <v>#DIV/0!</v>
      </c>
      <c r="BK4" s="248">
        <v>8.65</v>
      </c>
      <c r="BL4" s="248">
        <v>12.1</v>
      </c>
      <c r="BM4" s="248">
        <v>12.1</v>
      </c>
      <c r="BN4" s="248">
        <v>11.65</v>
      </c>
      <c r="BO4" s="248"/>
      <c r="BP4" s="251">
        <v>11.125</v>
      </c>
      <c r="BQ4" s="252">
        <v>11</v>
      </c>
      <c r="BR4" s="252">
        <v>0</v>
      </c>
    </row>
    <row r="5" spans="1:70">
      <c r="A5" s="218" t="s">
        <v>733</v>
      </c>
      <c r="B5" s="218" t="s">
        <v>641</v>
      </c>
      <c r="C5" s="219" t="s">
        <v>664</v>
      </c>
      <c r="D5" s="219">
        <v>4</v>
      </c>
      <c r="E5" s="229">
        <v>0.53819444444444442</v>
      </c>
      <c r="F5" s="220">
        <v>0.56383101851851858</v>
      </c>
      <c r="G5" s="220">
        <v>0.66342592592592597</v>
      </c>
      <c r="H5" s="208">
        <v>2.5636574074074159E-2</v>
      </c>
      <c r="I5" s="208">
        <v>4.8148148148149383E-3</v>
      </c>
      <c r="J5" s="208">
        <v>0.12523148148148155</v>
      </c>
      <c r="K5" s="220">
        <v>0.13194444444444445</v>
      </c>
      <c r="L5" s="229">
        <v>0.32430555555555557</v>
      </c>
      <c r="M5" s="220">
        <v>0.34446759259259263</v>
      </c>
      <c r="N5" s="220"/>
      <c r="O5" s="208">
        <v>2.0162037037037062E-2</v>
      </c>
      <c r="P5" s="208">
        <v>4.2708333333333903E-3</v>
      </c>
      <c r="Q5" s="208">
        <v>-0.32430555555555557</v>
      </c>
      <c r="R5" s="220">
        <v>0.15972222222222224</v>
      </c>
      <c r="S5" s="221">
        <v>0.8</v>
      </c>
      <c r="T5" s="221">
        <v>1</v>
      </c>
      <c r="U5" s="221">
        <v>5</v>
      </c>
      <c r="V5" s="221">
        <v>4</v>
      </c>
      <c r="W5" s="238">
        <v>16.5</v>
      </c>
      <c r="X5" s="238">
        <v>16.899999999999999</v>
      </c>
      <c r="Y5" s="238">
        <v>5</v>
      </c>
      <c r="Z5" s="238">
        <v>5</v>
      </c>
      <c r="AA5" s="221">
        <v>3</v>
      </c>
      <c r="AB5" s="221">
        <v>3.6</v>
      </c>
      <c r="AC5" s="221">
        <v>4</v>
      </c>
      <c r="AD5" s="221">
        <v>3.4</v>
      </c>
      <c r="AE5" s="221">
        <v>2</v>
      </c>
      <c r="AF5" s="238">
        <v>1.8</v>
      </c>
      <c r="AG5" s="238">
        <v>9</v>
      </c>
      <c r="AH5" s="221">
        <v>5</v>
      </c>
      <c r="AI5" s="221">
        <v>5</v>
      </c>
      <c r="AJ5" s="221">
        <v>5</v>
      </c>
      <c r="AK5" s="221">
        <v>5</v>
      </c>
      <c r="AL5" s="238">
        <v>90.199999999999989</v>
      </c>
      <c r="AM5" s="243">
        <v>3</v>
      </c>
      <c r="AN5" s="218"/>
      <c r="AO5" s="294"/>
      <c r="AP5" s="189">
        <v>3</v>
      </c>
      <c r="AQ5" s="248">
        <v>9.35</v>
      </c>
      <c r="AR5" s="248">
        <v>8.9499999999999993</v>
      </c>
      <c r="AS5" s="248">
        <v>15.85</v>
      </c>
      <c r="AT5" s="248">
        <v>13.95</v>
      </c>
      <c r="AU5" s="248"/>
      <c r="AV5" s="249">
        <v>12.024999999999999</v>
      </c>
      <c r="AW5" s="248">
        <v>10</v>
      </c>
      <c r="AX5" s="248">
        <v>8.7799999999999994</v>
      </c>
      <c r="AY5" s="248">
        <v>15.63</v>
      </c>
      <c r="AZ5" s="248">
        <v>13.75</v>
      </c>
      <c r="BB5" s="251">
        <v>12.040000000000001</v>
      </c>
      <c r="BC5" s="252">
        <v>12</v>
      </c>
      <c r="BD5" s="252">
        <v>0</v>
      </c>
      <c r="BE5" s="248"/>
      <c r="BF5" s="248"/>
      <c r="BG5" s="248"/>
      <c r="BH5" s="248"/>
      <c r="BJ5" s="251" t="e">
        <v>#DIV/0!</v>
      </c>
      <c r="BK5" s="248">
        <v>7.95</v>
      </c>
      <c r="BL5" s="248">
        <v>10.45</v>
      </c>
      <c r="BM5" s="248">
        <v>13.2</v>
      </c>
      <c r="BN5" s="248">
        <v>13.8</v>
      </c>
      <c r="BO5" s="248"/>
      <c r="BP5" s="251">
        <v>11.35</v>
      </c>
      <c r="BQ5" s="252">
        <v>11</v>
      </c>
      <c r="BR5" s="252">
        <v>0</v>
      </c>
    </row>
    <row r="6" spans="1:70">
      <c r="A6" s="218" t="s">
        <v>733</v>
      </c>
      <c r="B6" s="218" t="s">
        <v>15</v>
      </c>
      <c r="C6" s="219" t="s">
        <v>665</v>
      </c>
      <c r="D6" s="219">
        <v>4</v>
      </c>
      <c r="E6" s="229">
        <v>0.53888888888888886</v>
      </c>
      <c r="F6" s="220">
        <v>0.5659953703703704</v>
      </c>
      <c r="G6" s="220">
        <v>0.65416666666666667</v>
      </c>
      <c r="H6" s="208">
        <v>2.7106481481481537E-2</v>
      </c>
      <c r="I6" s="208">
        <v>6.2847222222223165E-3</v>
      </c>
      <c r="J6" s="208">
        <v>0.11527777777777781</v>
      </c>
      <c r="K6" s="220">
        <v>0.13194444444444445</v>
      </c>
      <c r="L6" s="220">
        <v>0.32500000000000001</v>
      </c>
      <c r="M6" s="220">
        <v>0.34556712962962965</v>
      </c>
      <c r="N6" s="220"/>
      <c r="O6" s="208">
        <v>2.0567129629629644E-2</v>
      </c>
      <c r="P6" s="208">
        <v>4.6759259259259722E-3</v>
      </c>
      <c r="Q6" s="208">
        <v>-0.32500000000000001</v>
      </c>
      <c r="R6" s="220">
        <v>0.15972222222222224</v>
      </c>
      <c r="S6" s="221">
        <v>0.6</v>
      </c>
      <c r="T6" s="221">
        <v>1</v>
      </c>
      <c r="U6" s="221">
        <v>3</v>
      </c>
      <c r="V6" s="221">
        <v>3</v>
      </c>
      <c r="W6" s="238">
        <v>15.5</v>
      </c>
      <c r="X6" s="238">
        <v>16.600000000000001</v>
      </c>
      <c r="Y6" s="238">
        <v>5</v>
      </c>
      <c r="Z6" s="238">
        <v>5</v>
      </c>
      <c r="AA6" s="221">
        <v>3.2</v>
      </c>
      <c r="AB6" s="221">
        <v>3.2</v>
      </c>
      <c r="AC6" s="221">
        <v>2.1</v>
      </c>
      <c r="AD6" s="221">
        <v>2.4</v>
      </c>
      <c r="AE6" s="221">
        <v>2</v>
      </c>
      <c r="AF6" s="238">
        <v>1.6</v>
      </c>
      <c r="AG6" s="238">
        <v>6</v>
      </c>
      <c r="AH6" s="221">
        <v>4.5</v>
      </c>
      <c r="AI6" s="221">
        <v>5</v>
      </c>
      <c r="AJ6" s="221">
        <v>5</v>
      </c>
      <c r="AK6" s="221">
        <v>5</v>
      </c>
      <c r="AL6" s="238">
        <v>82.100000000000009</v>
      </c>
      <c r="AM6" s="243">
        <v>4</v>
      </c>
      <c r="AN6" s="218"/>
      <c r="AO6" s="294"/>
      <c r="AP6" s="189">
        <v>4</v>
      </c>
      <c r="AQ6" s="248">
        <v>13.15</v>
      </c>
      <c r="AR6" s="248">
        <v>13.3</v>
      </c>
      <c r="AS6" s="248">
        <v>11.85</v>
      </c>
      <c r="AT6" s="248">
        <v>11.35</v>
      </c>
      <c r="AU6" s="248"/>
      <c r="AV6" s="249">
        <v>12.412500000000001</v>
      </c>
      <c r="AW6" s="248">
        <v>11.39</v>
      </c>
      <c r="AX6" s="248">
        <v>13.31</v>
      </c>
      <c r="AY6" s="248">
        <v>13.2</v>
      </c>
      <c r="AZ6" s="248">
        <v>11.84</v>
      </c>
      <c r="BB6" s="251">
        <v>12.435000000000002</v>
      </c>
      <c r="BC6" s="252">
        <v>12</v>
      </c>
      <c r="BD6" s="252">
        <v>0</v>
      </c>
      <c r="BE6" s="248"/>
      <c r="BF6" s="248"/>
      <c r="BG6" s="248"/>
      <c r="BH6" s="248"/>
      <c r="BJ6" s="251" t="e">
        <v>#DIV/0!</v>
      </c>
      <c r="BK6" s="248">
        <v>11.1</v>
      </c>
      <c r="BL6" s="248">
        <v>11.2</v>
      </c>
      <c r="BM6" s="248">
        <v>11.55</v>
      </c>
      <c r="BN6" s="248">
        <v>10.65</v>
      </c>
      <c r="BO6" s="248"/>
      <c r="BP6" s="251">
        <v>11.124999999999998</v>
      </c>
      <c r="BQ6" s="252">
        <v>11</v>
      </c>
      <c r="BR6" s="252">
        <v>0</v>
      </c>
    </row>
    <row r="7" spans="1:70">
      <c r="A7" s="218" t="s">
        <v>733</v>
      </c>
      <c r="B7" s="218" t="s">
        <v>179</v>
      </c>
      <c r="C7" s="219" t="s">
        <v>663</v>
      </c>
      <c r="D7" s="219">
        <v>4</v>
      </c>
      <c r="E7" s="220">
        <v>0.53749999999999998</v>
      </c>
      <c r="F7" s="220">
        <v>0.57049768518518518</v>
      </c>
      <c r="G7" s="220">
        <v>0.66765046296296304</v>
      </c>
      <c r="H7" s="208">
        <v>3.2997685185185199E-2</v>
      </c>
      <c r="I7" s="208">
        <v>1.2175925925925979E-2</v>
      </c>
      <c r="J7" s="208">
        <v>0.13015046296296306</v>
      </c>
      <c r="K7" s="220">
        <v>0.13194444444444445</v>
      </c>
      <c r="L7" s="229">
        <v>0.3263888888888889</v>
      </c>
      <c r="M7" s="220">
        <v>0.35101851851851856</v>
      </c>
      <c r="N7" s="220"/>
      <c r="O7" s="208">
        <v>2.4629629629629668E-2</v>
      </c>
      <c r="P7" s="208">
        <v>8.7384259259259967E-3</v>
      </c>
      <c r="Q7" s="208">
        <v>-0.3263888888888889</v>
      </c>
      <c r="R7" s="220">
        <v>0.15972222222222224</v>
      </c>
      <c r="S7" s="221">
        <v>0.6</v>
      </c>
      <c r="T7" s="221">
        <v>0.6</v>
      </c>
      <c r="U7" s="221">
        <v>5</v>
      </c>
      <c r="V7" s="221">
        <v>3</v>
      </c>
      <c r="W7" s="238">
        <v>11.2</v>
      </c>
      <c r="X7" s="238">
        <v>13.7</v>
      </c>
      <c r="Y7" s="238">
        <v>5</v>
      </c>
      <c r="Z7" s="238">
        <v>5</v>
      </c>
      <c r="AA7" s="221">
        <v>2.5</v>
      </c>
      <c r="AB7" s="221">
        <v>2.2999999999999998</v>
      </c>
      <c r="AC7" s="221">
        <v>3.5</v>
      </c>
      <c r="AD7" s="221">
        <v>2.9</v>
      </c>
      <c r="AE7" s="221">
        <v>2</v>
      </c>
      <c r="AF7" s="238">
        <v>1.2</v>
      </c>
      <c r="AG7" s="238">
        <v>8</v>
      </c>
      <c r="AH7" s="221">
        <v>3.5</v>
      </c>
      <c r="AI7" s="221">
        <v>4.8</v>
      </c>
      <c r="AJ7" s="221">
        <v>5</v>
      </c>
      <c r="AK7" s="221">
        <v>5</v>
      </c>
      <c r="AL7" s="238">
        <v>75.599999999999994</v>
      </c>
      <c r="AM7" s="243">
        <v>5</v>
      </c>
      <c r="AN7" s="218"/>
      <c r="AO7" s="294"/>
      <c r="AP7" s="189">
        <v>5</v>
      </c>
      <c r="AQ7" s="248">
        <v>16.5</v>
      </c>
      <c r="AR7" s="248">
        <v>13.85</v>
      </c>
      <c r="AS7" s="248">
        <v>12.05</v>
      </c>
      <c r="AT7" s="248">
        <v>14.1</v>
      </c>
      <c r="AU7" s="248"/>
      <c r="AV7" s="249">
        <v>14.125000000000002</v>
      </c>
      <c r="AW7" s="248">
        <v>16.47</v>
      </c>
      <c r="AX7" s="248">
        <v>12.07</v>
      </c>
      <c r="AY7" s="248">
        <v>13.93</v>
      </c>
      <c r="AZ7" s="248">
        <v>14.08</v>
      </c>
      <c r="BB7" s="251">
        <v>14.137499999999999</v>
      </c>
      <c r="BC7" s="252">
        <v>12</v>
      </c>
      <c r="BD7" s="252">
        <v>0</v>
      </c>
      <c r="BE7" s="248"/>
      <c r="BF7" s="248"/>
      <c r="BG7" s="248"/>
      <c r="BH7" s="248"/>
      <c r="BJ7" s="251" t="e">
        <v>#DIV/0!</v>
      </c>
      <c r="BK7" s="248">
        <v>15.45</v>
      </c>
      <c r="BL7" s="248">
        <v>11.55</v>
      </c>
      <c r="BM7" s="248">
        <v>11</v>
      </c>
      <c r="BN7" s="248">
        <v>12.95</v>
      </c>
      <c r="BO7" s="248"/>
      <c r="BP7" s="251">
        <v>12.737500000000001</v>
      </c>
      <c r="BQ7" s="252">
        <v>11</v>
      </c>
      <c r="BR7" s="252">
        <v>0</v>
      </c>
    </row>
    <row r="8" spans="1:70">
      <c r="A8" s="218" t="s">
        <v>733</v>
      </c>
      <c r="B8" s="218" t="s">
        <v>124</v>
      </c>
      <c r="C8" s="219" t="s">
        <v>660</v>
      </c>
      <c r="D8" s="219">
        <v>4</v>
      </c>
      <c r="E8" s="229">
        <v>0.53541666666666665</v>
      </c>
      <c r="F8" s="220">
        <v>0.56491898148148145</v>
      </c>
      <c r="G8" s="220">
        <v>0.66295138888888883</v>
      </c>
      <c r="H8" s="208">
        <v>2.9502314814814801E-2</v>
      </c>
      <c r="I8" s="208">
        <v>8.6805555555555802E-3</v>
      </c>
      <c r="J8" s="208">
        <v>0.12753472222222217</v>
      </c>
      <c r="K8" s="220">
        <v>0.13194444444444445</v>
      </c>
      <c r="L8" s="220">
        <v>0.32569444444444445</v>
      </c>
      <c r="M8" s="220">
        <v>0.34825231481481483</v>
      </c>
      <c r="N8" s="220"/>
      <c r="O8" s="208">
        <v>2.2557870370370381E-2</v>
      </c>
      <c r="P8" s="208">
        <v>6.6666666666667096E-3</v>
      </c>
      <c r="Q8" s="208">
        <v>-0.32569444444444445</v>
      </c>
      <c r="R8" s="220">
        <v>0.15972222222222224</v>
      </c>
      <c r="S8" s="221">
        <v>0.8</v>
      </c>
      <c r="T8" s="221">
        <v>0.4</v>
      </c>
      <c r="U8" s="221">
        <v>2</v>
      </c>
      <c r="V8" s="221">
        <v>4</v>
      </c>
      <c r="W8" s="238">
        <v>13.8</v>
      </c>
      <c r="X8" s="238">
        <v>15.2</v>
      </c>
      <c r="Y8" s="238">
        <v>5</v>
      </c>
      <c r="Z8" s="238">
        <v>5</v>
      </c>
      <c r="AA8" s="221">
        <v>0.6</v>
      </c>
      <c r="AB8" s="221">
        <v>3</v>
      </c>
      <c r="AC8" s="221">
        <v>2.5</v>
      </c>
      <c r="AD8" s="221">
        <v>2.2999999999999998</v>
      </c>
      <c r="AE8" s="221">
        <v>1.6</v>
      </c>
      <c r="AF8" s="238">
        <v>1.2000000000000002</v>
      </c>
      <c r="AG8" s="238">
        <v>6</v>
      </c>
      <c r="AH8" s="221">
        <v>1.6</v>
      </c>
      <c r="AI8" s="221">
        <v>5</v>
      </c>
      <c r="AJ8" s="221">
        <v>5</v>
      </c>
      <c r="AK8" s="221">
        <v>5</v>
      </c>
      <c r="AL8" s="238">
        <v>72.800000000000011</v>
      </c>
      <c r="AM8" s="243">
        <v>6</v>
      </c>
      <c r="AN8" s="218"/>
      <c r="AO8" s="294"/>
      <c r="AP8" s="189">
        <v>6</v>
      </c>
      <c r="AQ8" s="248">
        <v>11.9</v>
      </c>
      <c r="AR8" s="248">
        <v>14.35</v>
      </c>
      <c r="AS8" s="248">
        <v>13.4</v>
      </c>
      <c r="AT8" s="248">
        <v>14.05</v>
      </c>
      <c r="AU8" s="248"/>
      <c r="AV8" s="249">
        <v>13.425000000000001</v>
      </c>
      <c r="AW8" s="248">
        <v>11.72</v>
      </c>
      <c r="AX8" s="248">
        <v>14</v>
      </c>
      <c r="AY8" s="248">
        <v>13.11</v>
      </c>
      <c r="AZ8" s="248">
        <v>13.81</v>
      </c>
      <c r="BB8" s="251">
        <v>13.16</v>
      </c>
      <c r="BC8" s="252">
        <v>12</v>
      </c>
      <c r="BD8" s="252">
        <v>0</v>
      </c>
      <c r="BE8" s="248"/>
      <c r="BF8" s="248"/>
      <c r="BG8" s="248"/>
      <c r="BH8" s="248"/>
      <c r="BJ8" s="251" t="e">
        <v>#DIV/0!</v>
      </c>
      <c r="BK8" s="248">
        <v>11.6</v>
      </c>
      <c r="BL8" s="248">
        <v>11.95</v>
      </c>
      <c r="BM8" s="248">
        <v>12.25</v>
      </c>
      <c r="BN8" s="248">
        <v>11.5</v>
      </c>
      <c r="BO8" s="248"/>
      <c r="BP8" s="251">
        <v>11.824999999999999</v>
      </c>
      <c r="BQ8" s="252">
        <v>11</v>
      </c>
      <c r="BR8" s="252">
        <v>0</v>
      </c>
    </row>
    <row r="9" spans="1:70">
      <c r="A9" s="218" t="s">
        <v>733</v>
      </c>
      <c r="B9" s="218" t="s">
        <v>133</v>
      </c>
      <c r="C9" s="219" t="s">
        <v>662</v>
      </c>
      <c r="D9" s="278">
        <v>4</v>
      </c>
      <c r="E9" s="279">
        <v>0.53680555555555554</v>
      </c>
      <c r="F9" s="280">
        <v>0.57450231481481484</v>
      </c>
      <c r="G9" s="280">
        <v>0.66502314814814811</v>
      </c>
      <c r="H9" s="281">
        <v>3.7696759259259305E-2</v>
      </c>
      <c r="I9" s="281">
        <v>1.6875000000000084E-2</v>
      </c>
      <c r="J9" s="281">
        <v>0.12821759259259258</v>
      </c>
      <c r="K9" s="280">
        <v>0.13194444444444445</v>
      </c>
      <c r="L9" s="229">
        <v>0.32777777777777778</v>
      </c>
      <c r="M9" s="280">
        <v>0.35296296296296298</v>
      </c>
      <c r="N9" s="280"/>
      <c r="O9" s="281">
        <v>2.5185185185185199E-2</v>
      </c>
      <c r="P9" s="281">
        <v>9.293981481481528E-3</v>
      </c>
      <c r="Q9" s="281">
        <v>-0.32777777777777778</v>
      </c>
      <c r="R9" s="280">
        <v>0.15972222222222224</v>
      </c>
      <c r="S9" s="282">
        <v>0.2</v>
      </c>
      <c r="T9" s="282">
        <v>0.8</v>
      </c>
      <c r="U9" s="282">
        <v>3</v>
      </c>
      <c r="V9" s="282">
        <v>2</v>
      </c>
      <c r="W9" s="283">
        <v>7.8</v>
      </c>
      <c r="X9" s="283">
        <v>13.3</v>
      </c>
      <c r="Y9" s="283">
        <v>5</v>
      </c>
      <c r="Z9" s="283">
        <v>5</v>
      </c>
      <c r="AA9" s="282">
        <v>0.5</v>
      </c>
      <c r="AB9" s="282">
        <v>2.2999999999999998</v>
      </c>
      <c r="AC9" s="282">
        <v>1.8</v>
      </c>
      <c r="AD9" s="282">
        <v>1.4</v>
      </c>
      <c r="AE9" s="282">
        <v>1</v>
      </c>
      <c r="AF9" s="283">
        <v>1</v>
      </c>
      <c r="AG9" s="283">
        <v>5</v>
      </c>
      <c r="AH9" s="282">
        <v>3</v>
      </c>
      <c r="AI9" s="282">
        <v>5</v>
      </c>
      <c r="AJ9" s="282">
        <v>5</v>
      </c>
      <c r="AK9" s="282">
        <v>4.5</v>
      </c>
      <c r="AL9" s="283">
        <v>61.599999999999994</v>
      </c>
      <c r="AM9" s="284">
        <v>7</v>
      </c>
      <c r="AN9" s="222"/>
      <c r="AO9" s="294"/>
      <c r="AP9" s="189">
        <v>2</v>
      </c>
      <c r="AQ9" s="187">
        <v>11.35</v>
      </c>
      <c r="AR9" s="187">
        <v>10.95</v>
      </c>
      <c r="AS9" s="187">
        <v>12.45</v>
      </c>
      <c r="AT9" s="187">
        <v>13.4</v>
      </c>
      <c r="AU9" s="187"/>
      <c r="AV9" s="249">
        <v>12.0375</v>
      </c>
      <c r="AW9" s="187">
        <v>11.04</v>
      </c>
      <c r="AX9" s="187">
        <v>12.58</v>
      </c>
      <c r="AY9" s="187">
        <v>11.34</v>
      </c>
      <c r="AZ9" s="187">
        <v>13.45</v>
      </c>
      <c r="BA9" s="189"/>
      <c r="BB9" s="251">
        <v>12.102499999999999</v>
      </c>
      <c r="BC9" s="188">
        <v>12</v>
      </c>
      <c r="BD9" s="252">
        <v>0</v>
      </c>
      <c r="BE9" s="187"/>
      <c r="BF9" s="187"/>
      <c r="BG9" s="187"/>
      <c r="BH9" s="187"/>
      <c r="BI9" s="189"/>
      <c r="BJ9" s="251" t="e">
        <v>#DIV/0!</v>
      </c>
      <c r="BK9" s="187">
        <v>12.5</v>
      </c>
      <c r="BL9" s="187">
        <v>10.9</v>
      </c>
      <c r="BM9" s="187">
        <v>10.1</v>
      </c>
      <c r="BN9" s="187"/>
      <c r="BO9" s="187"/>
      <c r="BP9" s="251">
        <v>11.166666666666666</v>
      </c>
      <c r="BQ9" s="188">
        <v>11</v>
      </c>
      <c r="BR9" s="252">
        <v>0</v>
      </c>
    </row>
    <row r="10" spans="1:70" ht="14.25" thickBot="1">
      <c r="A10" s="223" t="s">
        <v>733</v>
      </c>
      <c r="B10" s="223" t="s">
        <v>701</v>
      </c>
      <c r="C10" s="224" t="s">
        <v>704</v>
      </c>
      <c r="D10" s="224">
        <v>4</v>
      </c>
      <c r="E10" s="225">
        <v>0.5395833333333333</v>
      </c>
      <c r="F10" s="225">
        <v>0.57396990740740739</v>
      </c>
      <c r="G10" s="225">
        <v>0.6620138888888889</v>
      </c>
      <c r="H10" s="209">
        <v>3.4386574074074083E-2</v>
      </c>
      <c r="I10" s="209">
        <v>1.3564814814814863E-2</v>
      </c>
      <c r="J10" s="209">
        <v>0.1224305555555556</v>
      </c>
      <c r="K10" s="225">
        <v>0.13194444444444445</v>
      </c>
      <c r="L10" s="220">
        <v>0.32708333333333334</v>
      </c>
      <c r="M10" s="225">
        <v>0.34991898148148143</v>
      </c>
      <c r="N10" s="225"/>
      <c r="O10" s="209">
        <v>2.2835648148148091E-2</v>
      </c>
      <c r="P10" s="209">
        <v>6.9444444444444198E-3</v>
      </c>
      <c r="Q10" s="209">
        <v>-0.32708333333333334</v>
      </c>
      <c r="R10" s="225">
        <v>0.15972222222222224</v>
      </c>
      <c r="S10" s="226">
        <v>0.2</v>
      </c>
      <c r="T10" s="226">
        <v>0.2</v>
      </c>
      <c r="U10" s="226">
        <v>0</v>
      </c>
      <c r="V10" s="226">
        <v>1</v>
      </c>
      <c r="W10" s="239">
        <v>10.199999999999999</v>
      </c>
      <c r="X10" s="239">
        <v>15</v>
      </c>
      <c r="Y10" s="239">
        <v>5</v>
      </c>
      <c r="Z10" s="239">
        <v>5</v>
      </c>
      <c r="AA10" s="226">
        <v>0.6</v>
      </c>
      <c r="AB10" s="226">
        <v>0</v>
      </c>
      <c r="AC10" s="226">
        <v>1.2</v>
      </c>
      <c r="AD10" s="226">
        <v>1.1000000000000001</v>
      </c>
      <c r="AE10" s="226">
        <v>1</v>
      </c>
      <c r="AF10" s="239">
        <v>0.4</v>
      </c>
      <c r="AG10" s="239">
        <v>1</v>
      </c>
      <c r="AH10" s="226">
        <v>2.5</v>
      </c>
      <c r="AI10" s="226">
        <v>4.3</v>
      </c>
      <c r="AJ10" s="226">
        <v>3.5</v>
      </c>
      <c r="AK10" s="226">
        <v>5</v>
      </c>
      <c r="AL10" s="239">
        <v>55.800000000000004</v>
      </c>
      <c r="AM10" s="244">
        <v>8</v>
      </c>
      <c r="AN10" s="223"/>
      <c r="AO10" s="294"/>
      <c r="AP10" s="189">
        <v>1</v>
      </c>
      <c r="AQ10" s="187">
        <v>12.9</v>
      </c>
      <c r="AR10" s="187">
        <v>12.65</v>
      </c>
      <c r="AS10" s="187">
        <v>12.55</v>
      </c>
      <c r="AT10" s="187">
        <v>12.6</v>
      </c>
      <c r="AU10" s="187"/>
      <c r="AV10" s="249">
        <v>12.675000000000001</v>
      </c>
      <c r="AW10" s="187">
        <v>12.84</v>
      </c>
      <c r="AX10" s="187">
        <v>12.66</v>
      </c>
      <c r="AY10" s="187">
        <v>12.6</v>
      </c>
      <c r="AZ10" s="187">
        <v>12.63</v>
      </c>
      <c r="BA10" s="187"/>
      <c r="BB10" s="251">
        <v>12.682500000000001</v>
      </c>
      <c r="BC10" s="188">
        <v>12</v>
      </c>
      <c r="BD10" s="252">
        <v>0</v>
      </c>
      <c r="BE10" s="187"/>
      <c r="BF10" s="187"/>
      <c r="BG10" s="187"/>
      <c r="BH10" s="187"/>
      <c r="BI10" s="187"/>
      <c r="BJ10" s="251" t="e">
        <v>#DIV/0!</v>
      </c>
      <c r="BK10" s="187">
        <v>11.3</v>
      </c>
      <c r="BL10" s="187">
        <v>11.9</v>
      </c>
      <c r="BM10" s="187">
        <v>12.05</v>
      </c>
      <c r="BN10" s="187">
        <v>11.5</v>
      </c>
      <c r="BO10" s="187"/>
      <c r="BP10" s="251">
        <v>11.6875</v>
      </c>
      <c r="BQ10" s="188">
        <v>11</v>
      </c>
      <c r="BR10" s="252">
        <v>0</v>
      </c>
    </row>
    <row r="11" spans="1:70">
      <c r="A11" s="227" t="s">
        <v>734</v>
      </c>
      <c r="B11" s="227" t="s">
        <v>730</v>
      </c>
      <c r="C11" s="228" t="s">
        <v>667</v>
      </c>
      <c r="D11" s="228">
        <v>4</v>
      </c>
      <c r="E11" s="229">
        <v>0.54097222222222219</v>
      </c>
      <c r="F11" s="229">
        <v>0.56550925925925932</v>
      </c>
      <c r="G11" s="229">
        <v>0.66043981481481484</v>
      </c>
      <c r="H11" s="210">
        <v>2.4537037037037135E-2</v>
      </c>
      <c r="I11" s="210">
        <v>3.7152777777779145E-3</v>
      </c>
      <c r="J11" s="210">
        <v>0.11946759259259265</v>
      </c>
      <c r="K11" s="229">
        <v>0.13194444444444445</v>
      </c>
      <c r="L11" s="229">
        <v>0.32847222222222222</v>
      </c>
      <c r="M11" s="229">
        <v>0.34783564814814816</v>
      </c>
      <c r="N11" s="229"/>
      <c r="O11" s="210">
        <v>1.9363425925925937E-2</v>
      </c>
      <c r="P11" s="210">
        <v>3.4722222222222654E-3</v>
      </c>
      <c r="Q11" s="210">
        <v>-0.32847222222222222</v>
      </c>
      <c r="R11" s="229">
        <v>0.15972222222222224</v>
      </c>
      <c r="S11" s="230">
        <v>1</v>
      </c>
      <c r="T11" s="230">
        <v>1</v>
      </c>
      <c r="U11" s="230">
        <v>6</v>
      </c>
      <c r="V11" s="230">
        <v>4</v>
      </c>
      <c r="W11" s="240">
        <v>17.3</v>
      </c>
      <c r="X11" s="240">
        <v>17.5</v>
      </c>
      <c r="Y11" s="240">
        <v>5</v>
      </c>
      <c r="Z11" s="240">
        <v>5</v>
      </c>
      <c r="AA11" s="230">
        <v>2.9</v>
      </c>
      <c r="AB11" s="230">
        <v>3.1</v>
      </c>
      <c r="AC11" s="230">
        <v>3.6</v>
      </c>
      <c r="AD11" s="230">
        <v>2.9</v>
      </c>
      <c r="AE11" s="230">
        <v>2</v>
      </c>
      <c r="AF11" s="240">
        <v>2</v>
      </c>
      <c r="AG11" s="240">
        <v>10</v>
      </c>
      <c r="AH11" s="230">
        <v>3.5</v>
      </c>
      <c r="AI11" s="230">
        <v>5</v>
      </c>
      <c r="AJ11" s="230">
        <v>5</v>
      </c>
      <c r="AK11" s="230">
        <v>5</v>
      </c>
      <c r="AL11" s="240">
        <v>89.8</v>
      </c>
      <c r="AM11" s="245">
        <v>1</v>
      </c>
      <c r="AN11" s="227"/>
      <c r="AO11" s="294"/>
      <c r="AP11" s="189">
        <v>6</v>
      </c>
      <c r="AQ11" s="187">
        <v>13.3</v>
      </c>
      <c r="AR11" s="187">
        <v>12</v>
      </c>
      <c r="AS11" s="187">
        <v>12.1</v>
      </c>
      <c r="AT11" s="187">
        <v>13.15</v>
      </c>
      <c r="AU11" s="187"/>
      <c r="AV11" s="249">
        <v>12.637499999999999</v>
      </c>
      <c r="AW11" s="187">
        <v>13.31</v>
      </c>
      <c r="AX11" s="187">
        <v>12.08</v>
      </c>
      <c r="AY11" s="187">
        <v>12.13</v>
      </c>
      <c r="AZ11" s="187">
        <v>13.23</v>
      </c>
      <c r="BA11" s="187"/>
      <c r="BB11" s="251">
        <v>12.6875</v>
      </c>
      <c r="BC11" s="188">
        <v>12</v>
      </c>
      <c r="BD11" s="252">
        <v>0</v>
      </c>
      <c r="BE11" s="187"/>
      <c r="BF11" s="187"/>
      <c r="BG11" s="187"/>
      <c r="BH11" s="187"/>
      <c r="BI11" s="187"/>
      <c r="BJ11" s="251" t="e">
        <v>#DIV/0!</v>
      </c>
      <c r="BK11" s="187">
        <v>11.9</v>
      </c>
      <c r="BL11" s="187">
        <v>9.6999999999999993</v>
      </c>
      <c r="BM11" s="187">
        <v>11.3</v>
      </c>
      <c r="BN11" s="187">
        <v>12.65</v>
      </c>
      <c r="BO11" s="187"/>
      <c r="BP11" s="251">
        <v>11.387500000000001</v>
      </c>
      <c r="BQ11" s="188">
        <v>11</v>
      </c>
      <c r="BR11" s="252">
        <v>0</v>
      </c>
    </row>
    <row r="12" spans="1:70">
      <c r="A12" s="218" t="s">
        <v>734</v>
      </c>
      <c r="B12" s="218" t="s">
        <v>719</v>
      </c>
      <c r="C12" s="228" t="s">
        <v>676</v>
      </c>
      <c r="D12" s="219">
        <v>4</v>
      </c>
      <c r="E12" s="220">
        <v>0.54652777777777695</v>
      </c>
      <c r="F12" s="220">
        <v>0.57234953703703706</v>
      </c>
      <c r="G12" s="220">
        <v>0.67062499999999992</v>
      </c>
      <c r="H12" s="208">
        <v>2.5821759259260113E-2</v>
      </c>
      <c r="I12" s="208">
        <v>5.0000000000008926E-3</v>
      </c>
      <c r="J12" s="208">
        <v>0.12409722222222297</v>
      </c>
      <c r="K12" s="220">
        <v>0.13194444444444445</v>
      </c>
      <c r="L12" s="220">
        <v>0.3298611111111111</v>
      </c>
      <c r="M12" s="220">
        <v>0.35035879629629635</v>
      </c>
      <c r="N12" s="220"/>
      <c r="O12" s="208">
        <v>2.0497685185185244E-2</v>
      </c>
      <c r="P12" s="208">
        <v>4.6064814814815724E-3</v>
      </c>
      <c r="Q12" s="208">
        <v>-0.3298611111111111</v>
      </c>
      <c r="R12" s="220">
        <v>0.15972222222222224</v>
      </c>
      <c r="S12" s="221">
        <v>0.8</v>
      </c>
      <c r="T12" s="221">
        <v>0.4</v>
      </c>
      <c r="U12" s="221">
        <v>6</v>
      </c>
      <c r="V12" s="221">
        <v>4</v>
      </c>
      <c r="W12" s="238">
        <v>16.399999999999999</v>
      </c>
      <c r="X12" s="238">
        <v>16.7</v>
      </c>
      <c r="Y12" s="238">
        <v>5</v>
      </c>
      <c r="Z12" s="238">
        <v>5</v>
      </c>
      <c r="AA12" s="221">
        <v>3.5</v>
      </c>
      <c r="AB12" s="221">
        <v>3.4</v>
      </c>
      <c r="AC12" s="221">
        <v>3.8</v>
      </c>
      <c r="AD12" s="221">
        <v>3.1</v>
      </c>
      <c r="AE12" s="221">
        <v>2</v>
      </c>
      <c r="AF12" s="238">
        <v>1.2000000000000002</v>
      </c>
      <c r="AG12" s="238">
        <v>10</v>
      </c>
      <c r="AH12" s="221">
        <v>4.5</v>
      </c>
      <c r="AI12" s="221">
        <v>4</v>
      </c>
      <c r="AJ12" s="221">
        <v>5</v>
      </c>
      <c r="AK12" s="221">
        <v>5</v>
      </c>
      <c r="AL12" s="238">
        <v>88.6</v>
      </c>
      <c r="AM12" s="243">
        <v>2</v>
      </c>
      <c r="AN12" s="218"/>
      <c r="AO12" s="294"/>
      <c r="AP12" s="189">
        <v>3</v>
      </c>
      <c r="AQ12" s="187">
        <v>11.8</v>
      </c>
      <c r="AR12" s="187">
        <v>12.45</v>
      </c>
      <c r="AS12" s="187">
        <v>12.1</v>
      </c>
      <c r="AT12" s="187">
        <v>13.55</v>
      </c>
      <c r="AU12" s="187"/>
      <c r="AV12" s="249">
        <v>12.475000000000001</v>
      </c>
      <c r="AW12" s="187">
        <v>11.84</v>
      </c>
      <c r="AX12" s="187">
        <v>12.05</v>
      </c>
      <c r="AY12" s="187">
        <v>13.55</v>
      </c>
      <c r="AZ12" s="187">
        <v>12.41</v>
      </c>
      <c r="BA12" s="189"/>
      <c r="BB12" s="251">
        <v>12.462499999999999</v>
      </c>
      <c r="BC12" s="188">
        <v>12</v>
      </c>
      <c r="BD12" s="252">
        <v>0</v>
      </c>
      <c r="BE12" s="187"/>
      <c r="BF12" s="187"/>
      <c r="BG12" s="187"/>
      <c r="BH12" s="187"/>
      <c r="BI12" s="189"/>
      <c r="BJ12" s="251" t="e">
        <v>#DIV/0!</v>
      </c>
      <c r="BK12" s="187">
        <v>10.95</v>
      </c>
      <c r="BL12" s="187">
        <v>10.9</v>
      </c>
      <c r="BM12" s="187">
        <v>11.2</v>
      </c>
      <c r="BN12" s="187">
        <v>11.4</v>
      </c>
      <c r="BO12" s="187"/>
      <c r="BP12" s="251">
        <v>11.112499999999999</v>
      </c>
      <c r="BQ12" s="188">
        <v>11</v>
      </c>
      <c r="BR12" s="252">
        <v>0</v>
      </c>
    </row>
    <row r="13" spans="1:70">
      <c r="A13" s="218" t="s">
        <v>734</v>
      </c>
      <c r="B13" s="218" t="s">
        <v>711</v>
      </c>
      <c r="C13" s="228" t="s">
        <v>669</v>
      </c>
      <c r="D13" s="219">
        <v>4</v>
      </c>
      <c r="E13" s="229">
        <v>0.54236111111111096</v>
      </c>
      <c r="F13" s="220">
        <v>0.57225694444444442</v>
      </c>
      <c r="G13" s="220">
        <v>0.66114583333333332</v>
      </c>
      <c r="H13" s="208">
        <v>2.9895833333333455E-2</v>
      </c>
      <c r="I13" s="208">
        <v>9.0740740740742343E-3</v>
      </c>
      <c r="J13" s="208">
        <v>0.11878472222222236</v>
      </c>
      <c r="K13" s="220">
        <v>0.13194444444444445</v>
      </c>
      <c r="L13" s="229">
        <v>0.33402777777777781</v>
      </c>
      <c r="M13" s="220">
        <v>0.35390046296296296</v>
      </c>
      <c r="N13" s="220"/>
      <c r="O13" s="208">
        <v>1.9872685185185146E-2</v>
      </c>
      <c r="P13" s="208">
        <v>3.9814814814814747E-3</v>
      </c>
      <c r="Q13" s="208">
        <v>-0.33402777777777781</v>
      </c>
      <c r="R13" s="220">
        <v>0.15972222222222224</v>
      </c>
      <c r="S13" s="221">
        <v>0.8</v>
      </c>
      <c r="T13" s="221">
        <v>1</v>
      </c>
      <c r="U13" s="221">
        <v>5</v>
      </c>
      <c r="V13" s="221">
        <v>4</v>
      </c>
      <c r="W13" s="238">
        <v>13.5</v>
      </c>
      <c r="X13" s="238">
        <v>17.100000000000001</v>
      </c>
      <c r="Y13" s="238">
        <v>5</v>
      </c>
      <c r="Z13" s="238">
        <v>5</v>
      </c>
      <c r="AA13" s="221">
        <v>3.4</v>
      </c>
      <c r="AB13" s="221">
        <v>3.6</v>
      </c>
      <c r="AC13" s="221">
        <v>3.5</v>
      </c>
      <c r="AD13" s="221">
        <v>3.6</v>
      </c>
      <c r="AE13" s="221">
        <v>2</v>
      </c>
      <c r="AF13" s="238">
        <v>1.8</v>
      </c>
      <c r="AG13" s="238">
        <v>9</v>
      </c>
      <c r="AH13" s="221">
        <v>5</v>
      </c>
      <c r="AI13" s="221">
        <v>5</v>
      </c>
      <c r="AJ13" s="221">
        <v>5</v>
      </c>
      <c r="AK13" s="221">
        <v>5</v>
      </c>
      <c r="AL13" s="238">
        <v>87.5</v>
      </c>
      <c r="AM13" s="243">
        <v>3</v>
      </c>
      <c r="AN13" s="218"/>
      <c r="AO13" s="294"/>
      <c r="AP13" s="189">
        <v>8</v>
      </c>
      <c r="AQ13" s="187">
        <v>12.8</v>
      </c>
      <c r="AR13" s="187">
        <v>12.2</v>
      </c>
      <c r="AS13" s="187">
        <v>11.7</v>
      </c>
      <c r="AT13" s="187">
        <v>11.3</v>
      </c>
      <c r="AU13" s="187">
        <v>13.25</v>
      </c>
      <c r="AV13" s="249">
        <v>12.25</v>
      </c>
      <c r="AW13" s="187">
        <v>13.02</v>
      </c>
      <c r="AX13" s="187">
        <v>13.21</v>
      </c>
      <c r="AY13" s="187">
        <v>11.34</v>
      </c>
      <c r="AZ13" s="187">
        <v>11.43</v>
      </c>
      <c r="BA13" s="189">
        <v>11.79</v>
      </c>
      <c r="BB13" s="251">
        <v>12.157999999999999</v>
      </c>
      <c r="BC13" s="188">
        <v>12</v>
      </c>
      <c r="BD13" s="252">
        <v>0</v>
      </c>
      <c r="BE13" s="187"/>
      <c r="BF13" s="187"/>
      <c r="BG13" s="187"/>
      <c r="BH13" s="187"/>
      <c r="BI13" s="189"/>
      <c r="BJ13" s="251" t="e">
        <v>#DIV/0!</v>
      </c>
      <c r="BK13" s="187">
        <v>12.35</v>
      </c>
      <c r="BL13" s="187">
        <v>10.3</v>
      </c>
      <c r="BM13" s="187">
        <v>12.4</v>
      </c>
      <c r="BN13" s="187">
        <v>10.199999999999999</v>
      </c>
      <c r="BO13" s="187">
        <v>10.65</v>
      </c>
      <c r="BP13" s="251">
        <v>11.18</v>
      </c>
      <c r="BQ13" s="188">
        <v>11</v>
      </c>
      <c r="BR13" s="252">
        <v>0</v>
      </c>
    </row>
    <row r="14" spans="1:70">
      <c r="A14" s="218" t="s">
        <v>734</v>
      </c>
      <c r="B14" s="218" t="s">
        <v>708</v>
      </c>
      <c r="C14" s="219" t="s">
        <v>672</v>
      </c>
      <c r="D14" s="219">
        <v>4</v>
      </c>
      <c r="E14" s="220">
        <v>0.54375000000000007</v>
      </c>
      <c r="F14" s="220">
        <v>0.56855324074074076</v>
      </c>
      <c r="G14" s="220">
        <v>0.65295138888888882</v>
      </c>
      <c r="H14" s="208">
        <v>2.4803240740740695E-2</v>
      </c>
      <c r="I14" s="208">
        <v>3.9814814814814747E-3</v>
      </c>
      <c r="J14" s="208">
        <v>0.10920138888888875</v>
      </c>
      <c r="K14" s="220">
        <v>0.13194444444444445</v>
      </c>
      <c r="L14" s="220">
        <v>0.32916666666666666</v>
      </c>
      <c r="M14" s="220">
        <v>0.3500462962962963</v>
      </c>
      <c r="N14" s="220"/>
      <c r="O14" s="208">
        <v>2.0879629629629637E-2</v>
      </c>
      <c r="P14" s="208">
        <v>4.9884259259259656E-3</v>
      </c>
      <c r="Q14" s="208">
        <v>-0.32916666666666666</v>
      </c>
      <c r="R14" s="220">
        <v>0.15972222222222224</v>
      </c>
      <c r="S14" s="221">
        <v>1</v>
      </c>
      <c r="T14" s="221">
        <v>0.4</v>
      </c>
      <c r="U14" s="221">
        <v>5</v>
      </c>
      <c r="V14" s="221">
        <v>3</v>
      </c>
      <c r="W14" s="238">
        <v>17.100000000000001</v>
      </c>
      <c r="X14" s="238">
        <v>16.399999999999999</v>
      </c>
      <c r="Y14" s="238">
        <v>5</v>
      </c>
      <c r="Z14" s="238">
        <v>5</v>
      </c>
      <c r="AA14" s="221">
        <v>3.3</v>
      </c>
      <c r="AB14" s="221">
        <v>3.9</v>
      </c>
      <c r="AC14" s="221">
        <v>3.3</v>
      </c>
      <c r="AD14" s="221">
        <v>3.3</v>
      </c>
      <c r="AE14" s="221">
        <v>1.8</v>
      </c>
      <c r="AF14" s="238">
        <v>1.4</v>
      </c>
      <c r="AG14" s="238">
        <v>8</v>
      </c>
      <c r="AH14" s="221">
        <v>3.5</v>
      </c>
      <c r="AI14" s="221">
        <v>4.8</v>
      </c>
      <c r="AJ14" s="221">
        <v>5</v>
      </c>
      <c r="AK14" s="221">
        <v>5</v>
      </c>
      <c r="AL14" s="238">
        <v>86.799999999999983</v>
      </c>
      <c r="AM14" s="243">
        <v>4</v>
      </c>
      <c r="AN14" s="218"/>
      <c r="AO14" s="294"/>
      <c r="AP14" s="189">
        <v>7</v>
      </c>
      <c r="AQ14" s="187">
        <v>13</v>
      </c>
      <c r="AR14" s="187">
        <v>12.65</v>
      </c>
      <c r="AS14" s="187">
        <v>13.35</v>
      </c>
      <c r="AT14" s="187"/>
      <c r="AU14" s="187"/>
      <c r="AV14" s="249">
        <v>13</v>
      </c>
      <c r="AW14" s="187">
        <v>12.92</v>
      </c>
      <c r="AX14" s="187">
        <v>12.67</v>
      </c>
      <c r="AY14" s="187">
        <v>13.28</v>
      </c>
      <c r="AZ14" s="187"/>
      <c r="BA14" s="189"/>
      <c r="BB14" s="251">
        <v>12.956666666666665</v>
      </c>
      <c r="BC14" s="188">
        <v>12</v>
      </c>
      <c r="BD14" s="252">
        <v>0</v>
      </c>
      <c r="BE14" s="187"/>
      <c r="BF14" s="187"/>
      <c r="BG14" s="187"/>
      <c r="BH14" s="187"/>
      <c r="BI14" s="189"/>
      <c r="BJ14" s="251" t="e">
        <v>#DIV/0!</v>
      </c>
      <c r="BK14" s="187">
        <v>11.6</v>
      </c>
      <c r="BL14" s="187">
        <v>10.95</v>
      </c>
      <c r="BM14" s="187">
        <v>12</v>
      </c>
      <c r="BN14" s="187"/>
      <c r="BO14" s="187"/>
      <c r="BP14" s="251">
        <v>11.516666666666666</v>
      </c>
      <c r="BQ14" s="188">
        <v>11</v>
      </c>
      <c r="BR14" s="252">
        <v>0</v>
      </c>
    </row>
    <row r="15" spans="1:70">
      <c r="A15" s="218" t="s">
        <v>734</v>
      </c>
      <c r="B15" s="218" t="s">
        <v>743</v>
      </c>
      <c r="C15" s="219" t="s">
        <v>679</v>
      </c>
      <c r="D15" s="219">
        <v>5</v>
      </c>
      <c r="E15" s="220">
        <v>0.54861111111111005</v>
      </c>
      <c r="F15" s="220">
        <v>0.5773611111111111</v>
      </c>
      <c r="G15" s="220">
        <v>0.67577546296296298</v>
      </c>
      <c r="H15" s="208">
        <v>2.8750000000001052E-2</v>
      </c>
      <c r="I15" s="208">
        <v>7.928240740741832E-3</v>
      </c>
      <c r="J15" s="208">
        <v>0.12716435185185293</v>
      </c>
      <c r="K15" s="220">
        <v>0.13194444444444445</v>
      </c>
      <c r="L15" s="229">
        <v>0.33194444444444443</v>
      </c>
      <c r="M15" s="220">
        <v>0.35495370370370366</v>
      </c>
      <c r="N15" s="220"/>
      <c r="O15" s="208">
        <v>2.3009259259259229E-2</v>
      </c>
      <c r="P15" s="208">
        <v>7.118055555555558E-3</v>
      </c>
      <c r="Q15" s="208">
        <v>-0.33194444444444443</v>
      </c>
      <c r="R15" s="220">
        <v>0.15972222222222224</v>
      </c>
      <c r="S15" s="221">
        <v>1</v>
      </c>
      <c r="T15" s="221">
        <v>1</v>
      </c>
      <c r="U15" s="221">
        <v>4</v>
      </c>
      <c r="V15" s="221">
        <v>4</v>
      </c>
      <c r="W15" s="238">
        <v>14.3</v>
      </c>
      <c r="X15" s="238">
        <v>14.9</v>
      </c>
      <c r="Y15" s="238">
        <v>5</v>
      </c>
      <c r="Z15" s="238">
        <v>5</v>
      </c>
      <c r="AA15" s="221">
        <v>3.6</v>
      </c>
      <c r="AB15" s="221">
        <v>3.9</v>
      </c>
      <c r="AC15" s="221">
        <v>3.3</v>
      </c>
      <c r="AD15" s="221">
        <v>2.4</v>
      </c>
      <c r="AE15" s="221">
        <v>2</v>
      </c>
      <c r="AF15" s="238">
        <v>2</v>
      </c>
      <c r="AG15" s="238">
        <v>8</v>
      </c>
      <c r="AH15" s="221">
        <v>5</v>
      </c>
      <c r="AI15" s="221">
        <v>5</v>
      </c>
      <c r="AJ15" s="221">
        <v>5</v>
      </c>
      <c r="AK15" s="221">
        <v>5</v>
      </c>
      <c r="AL15" s="238">
        <v>84.4</v>
      </c>
      <c r="AM15" s="243">
        <v>5</v>
      </c>
      <c r="AN15" s="218"/>
      <c r="AO15" s="294"/>
      <c r="AP15" s="189">
        <v>4</v>
      </c>
      <c r="AQ15" s="187">
        <v>12.75</v>
      </c>
      <c r="AR15" s="187">
        <v>12.3</v>
      </c>
      <c r="AS15" s="187">
        <v>11.75</v>
      </c>
      <c r="AT15" s="187">
        <v>12.85</v>
      </c>
      <c r="AU15" s="187">
        <v>12.35</v>
      </c>
      <c r="AV15" s="249">
        <v>12.4</v>
      </c>
      <c r="AW15" s="187">
        <v>13.35</v>
      </c>
      <c r="AX15" s="187">
        <v>12.76</v>
      </c>
      <c r="AY15" s="187">
        <v>12.19</v>
      </c>
      <c r="AZ15" s="187">
        <v>11.88</v>
      </c>
      <c r="BA15" s="187">
        <v>11.75</v>
      </c>
      <c r="BB15" s="251">
        <v>12.385999999999999</v>
      </c>
      <c r="BC15" s="188">
        <v>12</v>
      </c>
      <c r="BD15" s="252">
        <v>0</v>
      </c>
      <c r="BE15" s="187"/>
      <c r="BF15" s="187"/>
      <c r="BG15" s="187"/>
      <c r="BH15" s="187"/>
      <c r="BI15" s="187"/>
      <c r="BJ15" s="251" t="e">
        <v>#DIV/0!</v>
      </c>
      <c r="BK15" s="187">
        <v>12.05</v>
      </c>
      <c r="BL15" s="187">
        <v>11</v>
      </c>
      <c r="BM15" s="187">
        <v>11.2</v>
      </c>
      <c r="BN15" s="187">
        <v>10.9</v>
      </c>
      <c r="BO15" s="187">
        <v>11.3</v>
      </c>
      <c r="BP15" s="251">
        <v>11.290000000000001</v>
      </c>
      <c r="BQ15" s="188">
        <v>11</v>
      </c>
      <c r="BR15" s="252">
        <v>0</v>
      </c>
    </row>
    <row r="16" spans="1:70">
      <c r="A16" s="218" t="s">
        <v>734</v>
      </c>
      <c r="B16" s="218" t="s">
        <v>710</v>
      </c>
      <c r="C16" s="219" t="s">
        <v>675</v>
      </c>
      <c r="D16" s="219">
        <v>5</v>
      </c>
      <c r="E16" s="229">
        <v>0.54583333333333295</v>
      </c>
      <c r="F16" s="220">
        <v>0.57200231481481478</v>
      </c>
      <c r="G16" s="220">
        <v>0.66665509259259259</v>
      </c>
      <c r="H16" s="208">
        <v>2.6168981481481834E-2</v>
      </c>
      <c r="I16" s="208">
        <v>5.347222222222614E-3</v>
      </c>
      <c r="J16" s="208">
        <v>0.12082175925925964</v>
      </c>
      <c r="K16" s="220">
        <v>0.13194444444444445</v>
      </c>
      <c r="L16" s="220">
        <v>0.33055555555555555</v>
      </c>
      <c r="M16" s="220">
        <v>0.35063657407407406</v>
      </c>
      <c r="N16" s="220"/>
      <c r="O16" s="208">
        <v>2.0081018518518512E-2</v>
      </c>
      <c r="P16" s="208">
        <v>4.1898148148148406E-3</v>
      </c>
      <c r="Q16" s="208">
        <v>-0.33055555555555555</v>
      </c>
      <c r="R16" s="220">
        <v>0.15972222222222224</v>
      </c>
      <c r="S16" s="221">
        <v>0.7</v>
      </c>
      <c r="T16" s="221">
        <v>0.6</v>
      </c>
      <c r="U16" s="221">
        <v>5</v>
      </c>
      <c r="V16" s="221">
        <v>4</v>
      </c>
      <c r="W16" s="238">
        <v>16.100000000000001</v>
      </c>
      <c r="X16" s="238">
        <v>17</v>
      </c>
      <c r="Y16" s="238">
        <v>5</v>
      </c>
      <c r="Z16" s="238">
        <v>5</v>
      </c>
      <c r="AA16" s="221">
        <v>3.9</v>
      </c>
      <c r="AB16" s="221">
        <v>0</v>
      </c>
      <c r="AC16" s="221">
        <v>2.8</v>
      </c>
      <c r="AD16" s="221">
        <v>2</v>
      </c>
      <c r="AE16" s="221">
        <v>2</v>
      </c>
      <c r="AF16" s="238">
        <v>1.2999999999999998</v>
      </c>
      <c r="AG16" s="238">
        <v>9</v>
      </c>
      <c r="AH16" s="221">
        <v>4</v>
      </c>
      <c r="AI16" s="221">
        <v>5</v>
      </c>
      <c r="AJ16" s="221">
        <v>5</v>
      </c>
      <c r="AK16" s="221">
        <v>5</v>
      </c>
      <c r="AL16" s="238">
        <v>83.1</v>
      </c>
      <c r="AM16" s="243">
        <v>6</v>
      </c>
      <c r="AN16" s="218"/>
      <c r="AO16" s="294"/>
      <c r="AP16" s="189">
        <v>9</v>
      </c>
      <c r="AQ16" s="187">
        <v>13.15</v>
      </c>
      <c r="AR16" s="187">
        <v>12.55</v>
      </c>
      <c r="AS16" s="187">
        <v>11.85</v>
      </c>
      <c r="AT16" s="187">
        <v>12.85</v>
      </c>
      <c r="AU16" s="187"/>
      <c r="AV16" s="249">
        <v>12.600000000000001</v>
      </c>
      <c r="AW16" s="187">
        <v>13.08</v>
      </c>
      <c r="AX16" s="187">
        <v>12.84</v>
      </c>
      <c r="AY16" s="187">
        <v>12.18</v>
      </c>
      <c r="AZ16" s="187">
        <v>11.62</v>
      </c>
      <c r="BA16" s="189"/>
      <c r="BB16" s="251">
        <v>12.43</v>
      </c>
      <c r="BC16" s="188">
        <v>12</v>
      </c>
      <c r="BD16" s="252">
        <v>0</v>
      </c>
      <c r="BE16" s="187"/>
      <c r="BF16" s="187"/>
      <c r="BG16" s="187"/>
      <c r="BH16" s="187"/>
      <c r="BI16" s="189"/>
      <c r="BJ16" s="251" t="e">
        <v>#DIV/0!</v>
      </c>
      <c r="BK16" s="187">
        <v>11.65</v>
      </c>
      <c r="BL16" s="187">
        <v>11.7</v>
      </c>
      <c r="BM16" s="187">
        <v>11.6</v>
      </c>
      <c r="BN16" s="187">
        <v>11.5</v>
      </c>
      <c r="BO16" s="187"/>
      <c r="BP16" s="251">
        <v>11.612500000000001</v>
      </c>
      <c r="BQ16" s="188">
        <v>11</v>
      </c>
      <c r="BR16" s="252">
        <v>0</v>
      </c>
    </row>
    <row r="17" spans="1:70">
      <c r="A17" s="218" t="s">
        <v>734</v>
      </c>
      <c r="B17" s="218" t="s">
        <v>709</v>
      </c>
      <c r="C17" s="219" t="s">
        <v>668</v>
      </c>
      <c r="D17" s="219">
        <v>3</v>
      </c>
      <c r="E17" s="220">
        <v>0.54166666666666696</v>
      </c>
      <c r="F17" s="220">
        <v>0.57060185185185186</v>
      </c>
      <c r="G17" s="220">
        <v>0.66342592592592597</v>
      </c>
      <c r="H17" s="208">
        <v>2.8935185185184897E-2</v>
      </c>
      <c r="I17" s="208">
        <v>8.1134259259256769E-3</v>
      </c>
      <c r="J17" s="208">
        <v>0.12175925925925901</v>
      </c>
      <c r="K17" s="220">
        <v>0.13194444444444445</v>
      </c>
      <c r="L17" s="220">
        <v>0.33333333333333331</v>
      </c>
      <c r="M17" s="220">
        <v>0.35613425925925929</v>
      </c>
      <c r="N17" s="220"/>
      <c r="O17" s="208">
        <v>2.2800925925925974E-2</v>
      </c>
      <c r="P17" s="208">
        <v>6.9097222222223031E-3</v>
      </c>
      <c r="Q17" s="208">
        <v>-0.33333333333333331</v>
      </c>
      <c r="R17" s="220">
        <v>0.15972222222222224</v>
      </c>
      <c r="S17" s="221">
        <v>0.6</v>
      </c>
      <c r="T17" s="221">
        <v>0.8</v>
      </c>
      <c r="U17" s="221">
        <v>5</v>
      </c>
      <c r="V17" s="221">
        <v>3</v>
      </c>
      <c r="W17" s="238">
        <v>14.2</v>
      </c>
      <c r="X17" s="238">
        <v>15</v>
      </c>
      <c r="Y17" s="238">
        <v>5</v>
      </c>
      <c r="Z17" s="238">
        <v>5</v>
      </c>
      <c r="AA17" s="221">
        <v>2.6</v>
      </c>
      <c r="AB17" s="221">
        <v>3</v>
      </c>
      <c r="AC17" s="221">
        <v>3.2</v>
      </c>
      <c r="AD17" s="221">
        <v>2.2999999999999998</v>
      </c>
      <c r="AE17" s="221">
        <v>1.8</v>
      </c>
      <c r="AF17" s="238">
        <v>1.4</v>
      </c>
      <c r="AG17" s="238">
        <v>8</v>
      </c>
      <c r="AH17" s="221">
        <v>4</v>
      </c>
      <c r="AI17" s="221">
        <v>5</v>
      </c>
      <c r="AJ17" s="221">
        <v>4.5</v>
      </c>
      <c r="AK17" s="221">
        <v>5</v>
      </c>
      <c r="AL17" s="238">
        <v>80</v>
      </c>
      <c r="AM17" s="243">
        <v>7</v>
      </c>
      <c r="AN17" s="218"/>
      <c r="AO17" s="294"/>
      <c r="AP17" s="189">
        <v>11</v>
      </c>
      <c r="AQ17" s="187">
        <v>12.75</v>
      </c>
      <c r="AR17" s="187">
        <v>13.1</v>
      </c>
      <c r="AS17" s="187">
        <v>13.3</v>
      </c>
      <c r="AT17" s="187">
        <v>12.5</v>
      </c>
      <c r="AU17" s="187"/>
      <c r="AV17" s="249">
        <v>12.912500000000001</v>
      </c>
      <c r="AW17" s="187">
        <v>12.77</v>
      </c>
      <c r="AX17" s="187">
        <v>13.1</v>
      </c>
      <c r="AY17" s="187">
        <v>13.3</v>
      </c>
      <c r="AZ17" s="187">
        <v>12.46</v>
      </c>
      <c r="BA17" s="189"/>
      <c r="BB17" s="251">
        <v>12.907500000000001</v>
      </c>
      <c r="BC17" s="188">
        <v>12</v>
      </c>
      <c r="BD17" s="252">
        <v>0</v>
      </c>
      <c r="BE17" s="187"/>
      <c r="BF17" s="187"/>
      <c r="BG17" s="187"/>
      <c r="BH17" s="187"/>
      <c r="BI17" s="189"/>
      <c r="BJ17" s="251" t="e">
        <v>#DIV/0!</v>
      </c>
      <c r="BK17" s="187">
        <v>11.45</v>
      </c>
      <c r="BL17" s="187">
        <v>12.65</v>
      </c>
      <c r="BM17" s="187">
        <v>12.25</v>
      </c>
      <c r="BN17" s="187">
        <v>11.5</v>
      </c>
      <c r="BO17" s="187"/>
      <c r="BP17" s="251">
        <v>11.9625</v>
      </c>
      <c r="BQ17" s="188">
        <v>11</v>
      </c>
      <c r="BR17" s="252">
        <v>0</v>
      </c>
    </row>
    <row r="18" spans="1:70">
      <c r="A18" s="218" t="s">
        <v>734</v>
      </c>
      <c r="B18" s="218" t="s">
        <v>718</v>
      </c>
      <c r="C18" s="228" t="s">
        <v>722</v>
      </c>
      <c r="D18" s="219">
        <v>5</v>
      </c>
      <c r="E18" s="229">
        <v>0.54999999999999905</v>
      </c>
      <c r="F18" s="220">
        <v>0.5803356481481482</v>
      </c>
      <c r="G18" s="220">
        <v>0.67064814814814822</v>
      </c>
      <c r="H18" s="208">
        <v>3.0335648148149152E-2</v>
      </c>
      <c r="I18" s="208">
        <v>9.513888888889932E-3</v>
      </c>
      <c r="J18" s="208">
        <v>0.12064814814814917</v>
      </c>
      <c r="K18" s="220">
        <v>0.13194444444444445</v>
      </c>
      <c r="L18" s="220">
        <v>0.3347222222222222</v>
      </c>
      <c r="M18" s="220">
        <v>0.3580787037037037</v>
      </c>
      <c r="N18" s="220"/>
      <c r="O18" s="208">
        <v>2.3356481481481506E-2</v>
      </c>
      <c r="P18" s="208">
        <v>7.4652777777778345E-3</v>
      </c>
      <c r="Q18" s="208">
        <v>-0.3347222222222222</v>
      </c>
      <c r="R18" s="220">
        <v>0.15972222222222224</v>
      </c>
      <c r="S18" s="221">
        <v>0.8</v>
      </c>
      <c r="T18" s="221">
        <v>0.6</v>
      </c>
      <c r="U18" s="221">
        <v>4</v>
      </c>
      <c r="V18" s="221">
        <v>4</v>
      </c>
      <c r="W18" s="238">
        <v>13.1</v>
      </c>
      <c r="X18" s="238">
        <v>14.6</v>
      </c>
      <c r="Y18" s="238">
        <v>5</v>
      </c>
      <c r="Z18" s="238">
        <v>5</v>
      </c>
      <c r="AA18" s="221">
        <v>2.5</v>
      </c>
      <c r="AB18" s="221">
        <v>3.2</v>
      </c>
      <c r="AC18" s="221">
        <v>3.7</v>
      </c>
      <c r="AD18" s="221">
        <v>2.8</v>
      </c>
      <c r="AE18" s="221">
        <v>1.8</v>
      </c>
      <c r="AF18" s="238">
        <v>1.4</v>
      </c>
      <c r="AG18" s="238">
        <v>8</v>
      </c>
      <c r="AH18" s="221">
        <v>4.0999999999999996</v>
      </c>
      <c r="AI18" s="221">
        <v>4</v>
      </c>
      <c r="AJ18" s="221">
        <v>5</v>
      </c>
      <c r="AK18" s="221">
        <v>5</v>
      </c>
      <c r="AL18" s="238">
        <v>79.2</v>
      </c>
      <c r="AM18" s="243">
        <v>8</v>
      </c>
      <c r="AN18" s="218"/>
      <c r="AO18" s="294"/>
      <c r="AP18" s="189">
        <v>12</v>
      </c>
      <c r="AQ18" s="187">
        <v>10.9</v>
      </c>
      <c r="AR18" s="187">
        <v>13.6</v>
      </c>
      <c r="AS18" s="187">
        <v>13.65</v>
      </c>
      <c r="AT18" s="187">
        <v>12.75</v>
      </c>
      <c r="AU18" s="187"/>
      <c r="AV18" s="249">
        <v>12.725</v>
      </c>
      <c r="AW18" s="187">
        <v>10.69</v>
      </c>
      <c r="AX18" s="187">
        <v>13.51</v>
      </c>
      <c r="AY18" s="187">
        <v>13.73</v>
      </c>
      <c r="AZ18" s="187">
        <v>12.88</v>
      </c>
      <c r="BA18" s="189"/>
      <c r="BB18" s="251">
        <v>12.702500000000001</v>
      </c>
      <c r="BC18" s="188">
        <v>12</v>
      </c>
      <c r="BD18" s="252">
        <v>0</v>
      </c>
      <c r="BE18" s="187"/>
      <c r="BF18" s="187"/>
      <c r="BG18" s="187"/>
      <c r="BH18" s="187"/>
      <c r="BI18" s="189"/>
      <c r="BJ18" s="251" t="e">
        <v>#DIV/0!</v>
      </c>
      <c r="BK18" s="187">
        <v>10.25</v>
      </c>
      <c r="BL18" s="187">
        <v>12.4</v>
      </c>
      <c r="BM18" s="187">
        <v>10.85</v>
      </c>
      <c r="BN18" s="187">
        <v>12.55</v>
      </c>
      <c r="BO18" s="187"/>
      <c r="BP18" s="251">
        <v>11.512499999999999</v>
      </c>
      <c r="BQ18" s="188">
        <v>11</v>
      </c>
      <c r="BR18" s="252">
        <v>0</v>
      </c>
    </row>
    <row r="19" spans="1:70">
      <c r="A19" s="218" t="s">
        <v>734</v>
      </c>
      <c r="B19" s="218" t="s">
        <v>715</v>
      </c>
      <c r="C19" s="228" t="s">
        <v>678</v>
      </c>
      <c r="D19" s="219">
        <v>4</v>
      </c>
      <c r="E19" s="220">
        <v>0.54791666666666605</v>
      </c>
      <c r="F19" s="220">
        <v>0.57667824074074081</v>
      </c>
      <c r="G19" s="220">
        <v>0.65498842592592588</v>
      </c>
      <c r="H19" s="208">
        <v>2.8761574074074758E-2</v>
      </c>
      <c r="I19" s="208">
        <v>7.9398148148155379E-3</v>
      </c>
      <c r="J19" s="208">
        <v>0.10707175925925982</v>
      </c>
      <c r="K19" s="220">
        <v>0.13194444444444445</v>
      </c>
      <c r="L19" s="220">
        <v>0.33263888888888887</v>
      </c>
      <c r="M19" s="220">
        <v>0.35758101851851848</v>
      </c>
      <c r="N19" s="220"/>
      <c r="O19" s="208">
        <v>2.4942129629629606E-2</v>
      </c>
      <c r="P19" s="208">
        <v>9.0509259259259345E-3</v>
      </c>
      <c r="Q19" s="208">
        <v>-0.33263888888888887</v>
      </c>
      <c r="R19" s="220">
        <v>0.15972222222222224</v>
      </c>
      <c r="S19" s="221">
        <v>0.6</v>
      </c>
      <c r="T19" s="221">
        <v>1</v>
      </c>
      <c r="U19" s="221">
        <v>2</v>
      </c>
      <c r="V19" s="221">
        <v>3</v>
      </c>
      <c r="W19" s="238">
        <v>14.3</v>
      </c>
      <c r="X19" s="238">
        <v>13.5</v>
      </c>
      <c r="Y19" s="238">
        <v>5</v>
      </c>
      <c r="Z19" s="238">
        <v>5</v>
      </c>
      <c r="AA19" s="221">
        <v>3.6</v>
      </c>
      <c r="AB19" s="221">
        <v>2.9</v>
      </c>
      <c r="AC19" s="221">
        <v>2.6</v>
      </c>
      <c r="AD19" s="221">
        <v>1.8</v>
      </c>
      <c r="AE19" s="221">
        <v>2</v>
      </c>
      <c r="AF19" s="238">
        <v>1.6</v>
      </c>
      <c r="AG19" s="238">
        <v>5</v>
      </c>
      <c r="AH19" s="221">
        <v>4.8</v>
      </c>
      <c r="AI19" s="221">
        <v>5</v>
      </c>
      <c r="AJ19" s="221">
        <v>5</v>
      </c>
      <c r="AK19" s="221">
        <v>5</v>
      </c>
      <c r="AL19" s="238">
        <v>77.099999999999994</v>
      </c>
      <c r="AM19" s="243">
        <v>9</v>
      </c>
      <c r="AN19" s="218"/>
      <c r="AO19" s="294"/>
      <c r="AP19" s="189">
        <v>5</v>
      </c>
      <c r="AQ19" s="187">
        <v>13.3</v>
      </c>
      <c r="AR19" s="187">
        <v>12.9</v>
      </c>
      <c r="AS19" s="187">
        <v>11.9</v>
      </c>
      <c r="AT19" s="187">
        <v>11.3</v>
      </c>
      <c r="AU19" s="187"/>
      <c r="AV19" s="249">
        <v>12.350000000000001</v>
      </c>
      <c r="AW19" s="187">
        <v>13.36</v>
      </c>
      <c r="AX19" s="187">
        <v>11.32</v>
      </c>
      <c r="AY19" s="187">
        <v>11.92</v>
      </c>
      <c r="AZ19" s="187">
        <v>12.99</v>
      </c>
      <c r="BA19" s="189"/>
      <c r="BB19" s="251">
        <v>12.397500000000001</v>
      </c>
      <c r="BC19" s="188">
        <v>12</v>
      </c>
      <c r="BD19" s="252">
        <v>0</v>
      </c>
      <c r="BE19" s="187"/>
      <c r="BF19" s="187"/>
      <c r="BG19" s="187"/>
      <c r="BH19" s="187"/>
      <c r="BI19" s="189"/>
      <c r="BJ19" s="251" t="e">
        <v>#DIV/0!</v>
      </c>
      <c r="BK19" s="187">
        <v>12.3</v>
      </c>
      <c r="BL19" s="187">
        <v>11.9</v>
      </c>
      <c r="BM19" s="187">
        <v>10.45</v>
      </c>
      <c r="BN19" s="187">
        <v>11</v>
      </c>
      <c r="BO19" s="187"/>
      <c r="BP19" s="251">
        <v>11.412500000000001</v>
      </c>
      <c r="BQ19" s="188">
        <v>11</v>
      </c>
      <c r="BR19" s="252">
        <v>0</v>
      </c>
    </row>
    <row r="20" spans="1:70">
      <c r="A20" s="218" t="s">
        <v>734</v>
      </c>
      <c r="B20" s="218" t="s">
        <v>714</v>
      </c>
      <c r="C20" s="228" t="s">
        <v>673</v>
      </c>
      <c r="D20" s="219">
        <v>4</v>
      </c>
      <c r="E20" s="229">
        <v>0.5444444444444444</v>
      </c>
      <c r="F20" s="220">
        <v>0.57707175925925924</v>
      </c>
      <c r="G20" s="220">
        <v>0.65833333333333333</v>
      </c>
      <c r="H20" s="208">
        <v>3.2627314814814845E-2</v>
      </c>
      <c r="I20" s="208">
        <v>1.1805555555555625E-2</v>
      </c>
      <c r="J20" s="208">
        <v>0.11388888888888893</v>
      </c>
      <c r="K20" s="220">
        <v>0.13194444444444445</v>
      </c>
      <c r="L20" s="220">
        <v>0.33611111111111108</v>
      </c>
      <c r="M20" s="220">
        <v>0.35829861111111111</v>
      </c>
      <c r="N20" s="220"/>
      <c r="O20" s="208">
        <v>2.2187500000000027E-2</v>
      </c>
      <c r="P20" s="208">
        <v>6.2962962962963553E-3</v>
      </c>
      <c r="Q20" s="208">
        <v>-0.33611111111111108</v>
      </c>
      <c r="R20" s="220">
        <v>0.15972222222222224</v>
      </c>
      <c r="S20" s="221">
        <v>0.6</v>
      </c>
      <c r="T20" s="221">
        <v>0.6</v>
      </c>
      <c r="U20" s="221">
        <v>6</v>
      </c>
      <c r="V20" s="221">
        <v>4</v>
      </c>
      <c r="W20" s="238">
        <v>11.5</v>
      </c>
      <c r="X20" s="238">
        <v>15.5</v>
      </c>
      <c r="Y20" s="238">
        <v>5</v>
      </c>
      <c r="Z20" s="238">
        <v>5</v>
      </c>
      <c r="AA20" s="221">
        <v>2.2999999999999998</v>
      </c>
      <c r="AB20" s="221">
        <v>2.8</v>
      </c>
      <c r="AC20" s="221">
        <v>3.4</v>
      </c>
      <c r="AD20" s="221">
        <v>2.5</v>
      </c>
      <c r="AE20" s="221">
        <v>1</v>
      </c>
      <c r="AF20" s="238">
        <v>1.2</v>
      </c>
      <c r="AG20" s="238">
        <v>10</v>
      </c>
      <c r="AH20" s="221">
        <v>1</v>
      </c>
      <c r="AI20" s="221">
        <v>5</v>
      </c>
      <c r="AJ20" s="221">
        <v>5</v>
      </c>
      <c r="AK20" s="221">
        <v>5</v>
      </c>
      <c r="AL20" s="238">
        <v>76.199999999999989</v>
      </c>
      <c r="AM20" s="243">
        <v>10</v>
      </c>
      <c r="AN20" s="218"/>
      <c r="AO20" s="294"/>
      <c r="AP20" s="189">
        <v>10</v>
      </c>
      <c r="AQ20" s="187">
        <v>15.3</v>
      </c>
      <c r="AR20" s="187">
        <v>14.2</v>
      </c>
      <c r="AS20" s="187">
        <v>13.3</v>
      </c>
      <c r="AT20" s="187"/>
      <c r="AU20" s="187"/>
      <c r="AV20" s="249">
        <v>14.266666666666666</v>
      </c>
      <c r="AW20" s="187">
        <v>13.23</v>
      </c>
      <c r="AX20" s="187">
        <v>14.16</v>
      </c>
      <c r="AY20" s="187">
        <v>15.27</v>
      </c>
      <c r="AZ20" s="187"/>
      <c r="BA20" s="189"/>
      <c r="BB20" s="251">
        <v>14.219999999999999</v>
      </c>
      <c r="BC20" s="188">
        <v>12</v>
      </c>
      <c r="BD20" s="252">
        <v>0</v>
      </c>
      <c r="BE20" s="187"/>
      <c r="BF20" s="187"/>
      <c r="BG20" s="187"/>
      <c r="BH20" s="187"/>
      <c r="BI20" s="189"/>
      <c r="BJ20" s="251" t="e">
        <v>#DIV/0!</v>
      </c>
      <c r="BK20" s="187">
        <v>12.3</v>
      </c>
      <c r="BL20" s="187">
        <v>13.1</v>
      </c>
      <c r="BM20" s="187">
        <v>12.65</v>
      </c>
      <c r="BN20" s="187"/>
      <c r="BO20" s="187"/>
      <c r="BP20" s="251">
        <v>12.683333333333332</v>
      </c>
      <c r="BQ20" s="188">
        <v>11</v>
      </c>
      <c r="BR20" s="252">
        <v>0</v>
      </c>
    </row>
    <row r="21" spans="1:70">
      <c r="A21" s="218" t="s">
        <v>734</v>
      </c>
      <c r="B21" s="218" t="s">
        <v>717</v>
      </c>
      <c r="C21" s="228" t="s">
        <v>677</v>
      </c>
      <c r="D21" s="219">
        <v>4</v>
      </c>
      <c r="E21" s="220">
        <v>0.54722222222222205</v>
      </c>
      <c r="F21" s="220">
        <v>0.57998842592592592</v>
      </c>
      <c r="G21" s="220">
        <v>0.67513888888888884</v>
      </c>
      <c r="H21" s="208">
        <v>3.2766203703703867E-2</v>
      </c>
      <c r="I21" s="208">
        <v>1.1944444444444646E-2</v>
      </c>
      <c r="J21" s="208">
        <v>0.12791666666666679</v>
      </c>
      <c r="K21" s="220">
        <v>0.13194444444444445</v>
      </c>
      <c r="L21" s="220">
        <v>0.33680555555555558</v>
      </c>
      <c r="M21" s="220">
        <v>0.36098379629629629</v>
      </c>
      <c r="N21" s="220"/>
      <c r="O21" s="208">
        <v>2.4178240740740709E-2</v>
      </c>
      <c r="P21" s="208">
        <v>8.2870370370370372E-3</v>
      </c>
      <c r="Q21" s="208">
        <v>-0.33680555555555558</v>
      </c>
      <c r="R21" s="220">
        <v>0.15972222222222224</v>
      </c>
      <c r="S21" s="221">
        <v>0.4</v>
      </c>
      <c r="T21" s="221">
        <v>0.6</v>
      </c>
      <c r="U21" s="221">
        <v>0</v>
      </c>
      <c r="V21" s="221">
        <v>3</v>
      </c>
      <c r="W21" s="238">
        <v>11.4</v>
      </c>
      <c r="X21" s="238">
        <v>14</v>
      </c>
      <c r="Y21" s="238">
        <v>5</v>
      </c>
      <c r="Z21" s="238">
        <v>5</v>
      </c>
      <c r="AA21" s="221">
        <v>1.5</v>
      </c>
      <c r="AB21" s="221">
        <v>3.6</v>
      </c>
      <c r="AC21" s="221">
        <v>3.2</v>
      </c>
      <c r="AD21" s="221">
        <v>2.2999999999999998</v>
      </c>
      <c r="AE21" s="221">
        <v>1.8</v>
      </c>
      <c r="AF21" s="238">
        <v>1</v>
      </c>
      <c r="AG21" s="238">
        <v>3</v>
      </c>
      <c r="AH21" s="221">
        <v>3</v>
      </c>
      <c r="AI21" s="221">
        <v>3.8</v>
      </c>
      <c r="AJ21" s="221">
        <v>4</v>
      </c>
      <c r="AK21" s="221">
        <v>5</v>
      </c>
      <c r="AL21" s="238">
        <v>67.599999999999994</v>
      </c>
      <c r="AM21" s="243">
        <v>11</v>
      </c>
      <c r="AN21" s="218"/>
      <c r="AO21" s="294"/>
      <c r="AP21" s="189">
        <v>14</v>
      </c>
      <c r="AQ21" s="187">
        <v>15.2</v>
      </c>
      <c r="AR21" s="187">
        <v>11.65</v>
      </c>
      <c r="AS21" s="187">
        <v>12.6</v>
      </c>
      <c r="AT21" s="187">
        <v>12.55</v>
      </c>
      <c r="AU21" s="187"/>
      <c r="AV21" s="249">
        <v>13</v>
      </c>
      <c r="AW21" s="187">
        <v>12.64</v>
      </c>
      <c r="AX21" s="187">
        <v>15.03</v>
      </c>
      <c r="AY21" s="187">
        <v>12.37</v>
      </c>
      <c r="AZ21" s="187">
        <v>11.72</v>
      </c>
      <c r="BA21" s="189"/>
      <c r="BB21" s="251">
        <v>12.94</v>
      </c>
      <c r="BC21" s="188">
        <v>12</v>
      </c>
      <c r="BD21" s="252">
        <v>0</v>
      </c>
      <c r="BE21" s="187"/>
      <c r="BF21" s="187"/>
      <c r="BG21" s="187"/>
      <c r="BH21" s="187"/>
      <c r="BI21" s="189"/>
      <c r="BJ21" s="251" t="e">
        <v>#DIV/0!</v>
      </c>
      <c r="BK21" s="187">
        <v>11.25</v>
      </c>
      <c r="BL21" s="187">
        <v>11.85</v>
      </c>
      <c r="BM21" s="187">
        <v>11.65</v>
      </c>
      <c r="BN21" s="187">
        <v>11.05</v>
      </c>
      <c r="BO21" s="187"/>
      <c r="BP21" s="251">
        <v>11.45</v>
      </c>
      <c r="BQ21" s="188">
        <v>11</v>
      </c>
      <c r="BR21" s="252">
        <v>0</v>
      </c>
    </row>
    <row r="22" spans="1:70">
      <c r="A22" s="218" t="s">
        <v>734</v>
      </c>
      <c r="B22" s="218" t="s">
        <v>140</v>
      </c>
      <c r="C22" s="228" t="s">
        <v>670</v>
      </c>
      <c r="D22" s="219">
        <v>3</v>
      </c>
      <c r="E22" s="229">
        <v>0.54305555555555551</v>
      </c>
      <c r="F22" s="220">
        <v>0.57598379629629626</v>
      </c>
      <c r="G22" s="220">
        <v>0.67173611111111109</v>
      </c>
      <c r="H22" s="208">
        <v>3.2928240740740744E-2</v>
      </c>
      <c r="I22" s="208">
        <v>1.2106481481481524E-2</v>
      </c>
      <c r="J22" s="208">
        <v>0.12868055555555558</v>
      </c>
      <c r="K22" s="220">
        <v>0.13194444444444445</v>
      </c>
      <c r="L22" s="220">
        <v>0.33749999999999997</v>
      </c>
      <c r="M22" s="220">
        <v>0.3613425925925926</v>
      </c>
      <c r="N22" s="220"/>
      <c r="O22" s="208">
        <v>2.3842592592592637E-2</v>
      </c>
      <c r="P22" s="208">
        <v>7.9513888888889661E-3</v>
      </c>
      <c r="Q22" s="208">
        <v>-0.33749999999999997</v>
      </c>
      <c r="R22" s="220">
        <v>0.15972222222222224</v>
      </c>
      <c r="S22" s="221">
        <v>0.6</v>
      </c>
      <c r="T22" s="221">
        <v>0.6</v>
      </c>
      <c r="U22" s="221">
        <v>2</v>
      </c>
      <c r="V22" s="221">
        <v>4</v>
      </c>
      <c r="W22" s="238">
        <v>11.3</v>
      </c>
      <c r="X22" s="238">
        <v>14.3</v>
      </c>
      <c r="Y22" s="238">
        <v>5</v>
      </c>
      <c r="Z22" s="238">
        <v>5</v>
      </c>
      <c r="AA22" s="221">
        <v>0.9</v>
      </c>
      <c r="AB22" s="221">
        <v>2</v>
      </c>
      <c r="AC22" s="221">
        <v>1.7</v>
      </c>
      <c r="AD22" s="221">
        <v>1</v>
      </c>
      <c r="AE22" s="221">
        <v>0.8</v>
      </c>
      <c r="AF22" s="238">
        <v>1.2</v>
      </c>
      <c r="AG22" s="238">
        <v>6</v>
      </c>
      <c r="AH22" s="221">
        <v>3</v>
      </c>
      <c r="AI22" s="221">
        <v>5</v>
      </c>
      <c r="AJ22" s="221">
        <v>4.5</v>
      </c>
      <c r="AK22" s="221">
        <v>5</v>
      </c>
      <c r="AL22" s="238">
        <v>66.7</v>
      </c>
      <c r="AM22" s="243">
        <v>12</v>
      </c>
      <c r="AN22" s="218"/>
      <c r="AO22" s="294"/>
      <c r="AP22" s="189">
        <v>13</v>
      </c>
      <c r="AQ22" s="187">
        <v>14.45</v>
      </c>
      <c r="AR22" s="187">
        <v>15.1</v>
      </c>
      <c r="AS22" s="187">
        <v>13.2</v>
      </c>
      <c r="AT22" s="187">
        <v>13.35</v>
      </c>
      <c r="AU22" s="248"/>
      <c r="AV22" s="249">
        <v>14.025</v>
      </c>
      <c r="AW22" s="187">
        <v>14.23</v>
      </c>
      <c r="AX22" s="187">
        <v>13.12</v>
      </c>
      <c r="AY22" s="187">
        <v>13.09</v>
      </c>
      <c r="AZ22" s="248">
        <v>15.03</v>
      </c>
      <c r="BB22" s="251">
        <v>13.8675</v>
      </c>
      <c r="BC22" s="188">
        <v>12</v>
      </c>
      <c r="BD22" s="252">
        <v>0</v>
      </c>
      <c r="BE22" s="187"/>
      <c r="BF22" s="187"/>
      <c r="BG22" s="187"/>
      <c r="BH22" s="248"/>
      <c r="BJ22" s="251" t="e">
        <v>#DIV/0!</v>
      </c>
      <c r="BK22" s="187">
        <v>11.65</v>
      </c>
      <c r="BL22" s="187">
        <v>11.35</v>
      </c>
      <c r="BM22" s="187">
        <v>9.75</v>
      </c>
      <c r="BN22" s="187">
        <v>13.6</v>
      </c>
      <c r="BO22" s="248"/>
      <c r="BP22" s="251">
        <v>11.5875</v>
      </c>
      <c r="BQ22" s="188">
        <v>11</v>
      </c>
      <c r="BR22" s="252">
        <v>0</v>
      </c>
    </row>
    <row r="23" spans="1:70">
      <c r="A23" s="218" t="s">
        <v>734</v>
      </c>
      <c r="B23" s="218" t="s">
        <v>707</v>
      </c>
      <c r="C23" s="228" t="s">
        <v>666</v>
      </c>
      <c r="D23" s="219">
        <v>5</v>
      </c>
      <c r="E23" s="220">
        <v>0.54027777777777775</v>
      </c>
      <c r="F23" s="220">
        <v>0.57229166666666664</v>
      </c>
      <c r="G23" s="220">
        <v>0.66374999999999995</v>
      </c>
      <c r="H23" s="208">
        <v>3.2013888888888897E-2</v>
      </c>
      <c r="I23" s="208">
        <v>1.1192129629629677E-2</v>
      </c>
      <c r="J23" s="208">
        <v>0.12347222222222221</v>
      </c>
      <c r="K23" s="220">
        <v>0.13194444444444445</v>
      </c>
      <c r="L23" s="220">
        <v>0.3354166666666667</v>
      </c>
      <c r="M23" s="220">
        <v>0.36074074074074075</v>
      </c>
      <c r="N23" s="220"/>
      <c r="O23" s="208">
        <v>2.5324074074074054E-2</v>
      </c>
      <c r="P23" s="208">
        <v>9.4328703703703831E-3</v>
      </c>
      <c r="Q23" s="208">
        <v>-0.3354166666666667</v>
      </c>
      <c r="R23" s="220">
        <v>0.15972222222222224</v>
      </c>
      <c r="S23" s="221">
        <v>0.6</v>
      </c>
      <c r="T23" s="221">
        <v>0.6</v>
      </c>
      <c r="U23" s="221">
        <v>2</v>
      </c>
      <c r="V23" s="221">
        <v>4</v>
      </c>
      <c r="W23" s="238">
        <v>11.9</v>
      </c>
      <c r="X23" s="238">
        <v>13.2</v>
      </c>
      <c r="Y23" s="238">
        <v>5</v>
      </c>
      <c r="Z23" s="238">
        <v>5</v>
      </c>
      <c r="AA23" s="221">
        <v>1.8</v>
      </c>
      <c r="AB23" s="221">
        <v>2.7</v>
      </c>
      <c r="AC23" s="221">
        <v>1.9</v>
      </c>
      <c r="AD23" s="221">
        <v>1.7</v>
      </c>
      <c r="AE23" s="221">
        <v>0.8</v>
      </c>
      <c r="AF23" s="238">
        <v>1.2</v>
      </c>
      <c r="AG23" s="238">
        <v>6</v>
      </c>
      <c r="AH23" s="221">
        <v>1</v>
      </c>
      <c r="AI23" s="221">
        <v>5</v>
      </c>
      <c r="AJ23" s="221">
        <v>3.5</v>
      </c>
      <c r="AK23" s="221">
        <v>5</v>
      </c>
      <c r="AL23" s="238">
        <v>65.7</v>
      </c>
      <c r="AM23" s="243">
        <v>13</v>
      </c>
      <c r="AN23" s="218"/>
      <c r="AO23" s="294"/>
      <c r="AP23" s="189">
        <v>16</v>
      </c>
      <c r="AQ23" s="187">
        <v>13.1</v>
      </c>
      <c r="AR23" s="187">
        <v>12.85</v>
      </c>
      <c r="AS23" s="187">
        <v>15.3</v>
      </c>
      <c r="AT23" s="187">
        <v>13.85</v>
      </c>
      <c r="AU23" s="187"/>
      <c r="AV23" s="249">
        <v>13.775</v>
      </c>
      <c r="AW23" s="187">
        <v>13.01</v>
      </c>
      <c r="AX23" s="187">
        <v>12.77</v>
      </c>
      <c r="AY23" s="187">
        <v>13.64</v>
      </c>
      <c r="AZ23" s="187">
        <v>14.83</v>
      </c>
      <c r="BA23" s="189"/>
      <c r="BB23" s="251">
        <v>13.5625</v>
      </c>
      <c r="BC23" s="188">
        <v>12</v>
      </c>
      <c r="BD23" s="252">
        <v>0</v>
      </c>
      <c r="BE23" s="187"/>
      <c r="BF23" s="187"/>
      <c r="BG23" s="187"/>
      <c r="BH23" s="187"/>
      <c r="BI23" s="189"/>
      <c r="BJ23" s="251" t="e">
        <v>#DIV/0!</v>
      </c>
      <c r="BK23" s="187">
        <v>11.05</v>
      </c>
      <c r="BL23" s="187">
        <v>11.1</v>
      </c>
      <c r="BM23" s="187">
        <v>11.55</v>
      </c>
      <c r="BN23" s="187">
        <v>12.6</v>
      </c>
      <c r="BO23" s="187"/>
      <c r="BP23" s="251">
        <v>11.575000000000001</v>
      </c>
      <c r="BQ23" s="188">
        <v>11</v>
      </c>
      <c r="BR23" s="252">
        <v>0</v>
      </c>
    </row>
    <row r="24" spans="1:70">
      <c r="A24" s="218" t="s">
        <v>734</v>
      </c>
      <c r="B24" s="218" t="s">
        <v>748</v>
      </c>
      <c r="C24" s="228" t="s">
        <v>680</v>
      </c>
      <c r="D24" s="219">
        <v>3</v>
      </c>
      <c r="E24" s="229">
        <v>0.54930555555555505</v>
      </c>
      <c r="F24" s="220">
        <v>0.58310185185185182</v>
      </c>
      <c r="G24" s="220">
        <v>0.6685416666666667</v>
      </c>
      <c r="H24" s="208">
        <v>3.3796296296296768E-2</v>
      </c>
      <c r="I24" s="208">
        <v>1.2974537037037548E-2</v>
      </c>
      <c r="J24" s="208">
        <v>0.11923611111111165</v>
      </c>
      <c r="K24" s="220">
        <v>0.13194444444444445</v>
      </c>
      <c r="L24" s="220">
        <v>0.33819444444444446</v>
      </c>
      <c r="M24" s="220">
        <v>0.36719907407407404</v>
      </c>
      <c r="N24" s="220"/>
      <c r="O24" s="208">
        <v>2.9004629629629575E-2</v>
      </c>
      <c r="P24" s="208">
        <v>1.3113425925925903E-2</v>
      </c>
      <c r="Q24" s="208">
        <v>-0.33819444444444446</v>
      </c>
      <c r="R24" s="220">
        <v>0.15972222222222224</v>
      </c>
      <c r="S24" s="221">
        <v>0.4</v>
      </c>
      <c r="T24" s="221">
        <v>0.6</v>
      </c>
      <c r="U24" s="221">
        <v>1</v>
      </c>
      <c r="V24" s="221">
        <v>1</v>
      </c>
      <c r="W24" s="238">
        <v>10.7</v>
      </c>
      <c r="X24" s="238">
        <v>10.6</v>
      </c>
      <c r="Y24" s="238">
        <v>5</v>
      </c>
      <c r="Z24" s="238">
        <v>5</v>
      </c>
      <c r="AA24" s="221">
        <v>0.6</v>
      </c>
      <c r="AB24" s="221">
        <v>3.4</v>
      </c>
      <c r="AC24" s="221">
        <v>2.1</v>
      </c>
      <c r="AD24" s="221">
        <v>0</v>
      </c>
      <c r="AE24" s="221">
        <v>1.4</v>
      </c>
      <c r="AF24" s="238">
        <v>1</v>
      </c>
      <c r="AG24" s="238">
        <v>2</v>
      </c>
      <c r="AH24" s="221">
        <v>2.8</v>
      </c>
      <c r="AI24" s="221">
        <v>5</v>
      </c>
      <c r="AJ24" s="221">
        <v>4</v>
      </c>
      <c r="AK24" s="221">
        <v>5</v>
      </c>
      <c r="AL24" s="238">
        <v>58.599999999999994</v>
      </c>
      <c r="AM24" s="243">
        <v>14</v>
      </c>
      <c r="AN24" s="218"/>
      <c r="AO24" s="294"/>
      <c r="AP24" s="189">
        <v>19</v>
      </c>
      <c r="AQ24" s="187">
        <v>13.1</v>
      </c>
      <c r="AR24" s="187">
        <v>11.35</v>
      </c>
      <c r="AS24" s="187">
        <v>14.25</v>
      </c>
      <c r="AT24" s="187">
        <v>10.75</v>
      </c>
      <c r="AU24" s="248">
        <v>12.2</v>
      </c>
      <c r="AV24" s="249">
        <v>12.330000000000002</v>
      </c>
      <c r="AW24" s="187">
        <v>13.17</v>
      </c>
      <c r="AX24" s="187">
        <v>11.23</v>
      </c>
      <c r="AY24" s="187">
        <v>12.73</v>
      </c>
      <c r="AZ24" s="187">
        <v>12.1</v>
      </c>
      <c r="BA24" s="250">
        <v>12.12</v>
      </c>
      <c r="BB24" s="251">
        <v>12.27</v>
      </c>
      <c r="BC24" s="188">
        <v>12</v>
      </c>
      <c r="BD24" s="252">
        <v>0</v>
      </c>
      <c r="BE24" s="187"/>
      <c r="BF24" s="187"/>
      <c r="BG24" s="187"/>
      <c r="BH24" s="187"/>
      <c r="BJ24" s="251" t="e">
        <v>#DIV/0!</v>
      </c>
      <c r="BK24" s="187">
        <v>12.85</v>
      </c>
      <c r="BL24" s="187">
        <v>11.75</v>
      </c>
      <c r="BM24" s="187">
        <v>10.95</v>
      </c>
      <c r="BN24" s="248">
        <v>6.2</v>
      </c>
      <c r="BO24" s="248">
        <v>12.2</v>
      </c>
      <c r="BP24" s="251">
        <v>10.790000000000001</v>
      </c>
      <c r="BQ24" s="188">
        <v>11</v>
      </c>
      <c r="BR24" s="252">
        <v>-0.20999999999999908</v>
      </c>
    </row>
    <row r="25" spans="1:70">
      <c r="A25" s="218" t="s">
        <v>734</v>
      </c>
      <c r="B25" s="218" t="s">
        <v>735</v>
      </c>
      <c r="C25" s="228" t="s">
        <v>674</v>
      </c>
      <c r="D25" s="219">
        <v>4</v>
      </c>
      <c r="E25" s="220">
        <v>0.54513888888888895</v>
      </c>
      <c r="F25" s="220">
        <v>0.58401620370370366</v>
      </c>
      <c r="G25" s="220">
        <v>0.66710648148148144</v>
      </c>
      <c r="H25" s="208">
        <v>3.8877314814814712E-2</v>
      </c>
      <c r="I25" s="208">
        <v>1.8055555555555491E-2</v>
      </c>
      <c r="J25" s="208">
        <v>0.12196759259259249</v>
      </c>
      <c r="K25" s="220">
        <v>0.13194444444444445</v>
      </c>
      <c r="L25" s="220">
        <v>0.33888888888888885</v>
      </c>
      <c r="M25" s="220">
        <v>0.37336805555555558</v>
      </c>
      <c r="N25" s="220"/>
      <c r="O25" s="208">
        <v>3.4479166666666727E-2</v>
      </c>
      <c r="P25" s="208">
        <v>1.8587962962963056E-2</v>
      </c>
      <c r="Q25" s="208">
        <v>-0.33888888888888885</v>
      </c>
      <c r="R25" s="220">
        <v>0.15972222222222224</v>
      </c>
      <c r="S25" s="221">
        <v>0.6</v>
      </c>
      <c r="T25" s="221">
        <v>0</v>
      </c>
      <c r="U25" s="221">
        <v>0</v>
      </c>
      <c r="V25" s="221">
        <v>3</v>
      </c>
      <c r="W25" s="238">
        <v>7</v>
      </c>
      <c r="X25" s="238">
        <v>6.6</v>
      </c>
      <c r="Y25" s="238">
        <v>5</v>
      </c>
      <c r="Z25" s="238">
        <v>5</v>
      </c>
      <c r="AA25" s="221">
        <v>1.3</v>
      </c>
      <c r="AB25" s="221">
        <v>0.9</v>
      </c>
      <c r="AC25" s="221">
        <v>2.1</v>
      </c>
      <c r="AD25" s="221">
        <v>1.3</v>
      </c>
      <c r="AE25" s="221">
        <v>1.8</v>
      </c>
      <c r="AF25" s="238">
        <v>0.6</v>
      </c>
      <c r="AG25" s="238">
        <v>3</v>
      </c>
      <c r="AH25" s="221">
        <v>2</v>
      </c>
      <c r="AI25" s="221">
        <v>4</v>
      </c>
      <c r="AJ25" s="221">
        <v>3.5</v>
      </c>
      <c r="AK25" s="221">
        <v>4.5</v>
      </c>
      <c r="AL25" s="238">
        <v>48.600000000000009</v>
      </c>
      <c r="AM25" s="243">
        <v>15</v>
      </c>
      <c r="AN25" s="218"/>
      <c r="AO25" s="294"/>
      <c r="AP25" s="189">
        <v>17</v>
      </c>
      <c r="AQ25" s="187">
        <v>13.65</v>
      </c>
      <c r="AR25" s="187">
        <v>14.2</v>
      </c>
      <c r="AS25" s="187">
        <v>11.75</v>
      </c>
      <c r="AT25" s="187">
        <v>12.2</v>
      </c>
      <c r="AU25" s="187"/>
      <c r="AV25" s="249">
        <v>12.95</v>
      </c>
      <c r="AW25" s="187">
        <v>14.07</v>
      </c>
      <c r="AX25" s="187">
        <v>11.55</v>
      </c>
      <c r="AY25" s="187">
        <v>13.71</v>
      </c>
      <c r="AZ25" s="187">
        <v>12.13</v>
      </c>
      <c r="BA25" s="189"/>
      <c r="BB25" s="251">
        <v>12.865</v>
      </c>
      <c r="BC25" s="188">
        <v>12</v>
      </c>
      <c r="BD25" s="252">
        <v>0</v>
      </c>
      <c r="BE25" s="187"/>
      <c r="BF25" s="187"/>
      <c r="BG25" s="187"/>
      <c r="BH25" s="187"/>
      <c r="BI25" s="189"/>
      <c r="BJ25" s="251" t="e">
        <v>#DIV/0!</v>
      </c>
      <c r="BK25" s="187">
        <v>10.9</v>
      </c>
      <c r="BL25" s="187">
        <v>11.95</v>
      </c>
      <c r="BM25" s="187">
        <v>10.6</v>
      </c>
      <c r="BN25" s="187">
        <v>10.65</v>
      </c>
      <c r="BO25" s="187"/>
      <c r="BP25" s="251">
        <v>11.025</v>
      </c>
      <c r="BQ25" s="188">
        <v>11</v>
      </c>
      <c r="BR25" s="252">
        <v>0</v>
      </c>
    </row>
    <row r="26" spans="1:70">
      <c r="A26" s="290" t="s">
        <v>734</v>
      </c>
      <c r="B26" s="218" t="s">
        <v>749</v>
      </c>
      <c r="C26" s="228" t="s">
        <v>723</v>
      </c>
      <c r="D26" s="219">
        <v>5</v>
      </c>
      <c r="E26" s="229">
        <v>0.55069444444444304</v>
      </c>
      <c r="F26" s="220">
        <v>0.57895833333333335</v>
      </c>
      <c r="G26" s="220">
        <v>0.67318287037037028</v>
      </c>
      <c r="H26" s="208">
        <v>2.8263888888890309E-2</v>
      </c>
      <c r="I26" s="208">
        <v>7.442129629631089E-3</v>
      </c>
      <c r="J26" s="208">
        <v>0.12248842592592724</v>
      </c>
      <c r="K26" s="220">
        <v>0.13194444444444445</v>
      </c>
      <c r="L26" s="220">
        <v>0.33124999999999999</v>
      </c>
      <c r="M26" s="220">
        <v>0.35196759259259264</v>
      </c>
      <c r="N26" s="220"/>
      <c r="O26" s="208">
        <v>2.0717592592592649E-2</v>
      </c>
      <c r="P26" s="208">
        <v>4.8263888888889772E-3</v>
      </c>
      <c r="Q26" s="208">
        <v>-0.33124999999999999</v>
      </c>
      <c r="R26" s="220">
        <v>0.15972222222222224</v>
      </c>
      <c r="S26" s="221">
        <v>1</v>
      </c>
      <c r="T26" s="221">
        <v>0.6</v>
      </c>
      <c r="U26" s="221">
        <v>5</v>
      </c>
      <c r="V26" s="221">
        <v>4</v>
      </c>
      <c r="W26" s="238">
        <v>14.6</v>
      </c>
      <c r="X26" s="238">
        <v>16.5</v>
      </c>
      <c r="Y26" s="238">
        <v>5</v>
      </c>
      <c r="Z26" s="238">
        <v>5</v>
      </c>
      <c r="AA26" s="221">
        <v>3.9</v>
      </c>
      <c r="AB26" s="221">
        <v>3.4</v>
      </c>
      <c r="AC26" s="221">
        <v>3.5</v>
      </c>
      <c r="AD26" s="221">
        <v>3.1</v>
      </c>
      <c r="AE26" s="221">
        <v>2</v>
      </c>
      <c r="AF26" s="238">
        <v>1.6</v>
      </c>
      <c r="AG26" s="238">
        <v>9</v>
      </c>
      <c r="AH26" s="221">
        <v>5</v>
      </c>
      <c r="AI26" s="221">
        <v>5</v>
      </c>
      <c r="AJ26" s="221">
        <v>5</v>
      </c>
      <c r="AK26" s="221">
        <v>5</v>
      </c>
      <c r="AL26" s="238"/>
      <c r="AM26" s="243"/>
      <c r="AN26" s="218" t="s">
        <v>762</v>
      </c>
      <c r="AO26" s="294"/>
      <c r="AP26" s="189">
        <v>15</v>
      </c>
      <c r="AQ26" s="189">
        <v>14.1</v>
      </c>
      <c r="AR26" s="189">
        <v>14.75</v>
      </c>
      <c r="AS26" s="189">
        <v>15.1</v>
      </c>
      <c r="AT26" s="189"/>
      <c r="AU26" s="189"/>
      <c r="AV26" s="251">
        <v>14.65</v>
      </c>
      <c r="AW26" s="189">
        <v>14.08</v>
      </c>
      <c r="AX26" s="189">
        <v>14.87</v>
      </c>
      <c r="AY26" s="189">
        <v>14.87</v>
      </c>
      <c r="AZ26" s="189"/>
      <c r="BA26" s="189"/>
      <c r="BB26" s="251">
        <v>14.606666666666667</v>
      </c>
      <c r="BC26" s="189">
        <v>12</v>
      </c>
      <c r="BD26" s="189">
        <v>0</v>
      </c>
      <c r="BE26" s="189"/>
      <c r="BF26" s="189"/>
      <c r="BG26" s="189"/>
      <c r="BH26" s="189"/>
      <c r="BI26" s="189"/>
      <c r="BJ26" s="251" t="e">
        <v>#DIV/0!</v>
      </c>
      <c r="BK26" s="189">
        <v>11.2</v>
      </c>
      <c r="BL26" s="189">
        <v>12.6</v>
      </c>
      <c r="BM26" s="189">
        <v>12.35</v>
      </c>
      <c r="BN26" s="189"/>
      <c r="BO26" s="189"/>
      <c r="BP26" s="251">
        <v>12.049999999999999</v>
      </c>
      <c r="BQ26" s="189">
        <v>11</v>
      </c>
      <c r="BR26" s="189">
        <v>0</v>
      </c>
    </row>
    <row r="27" spans="1:70" ht="14.25" thickBot="1">
      <c r="A27" s="269" t="s">
        <v>734</v>
      </c>
      <c r="B27" s="269" t="s">
        <v>179</v>
      </c>
      <c r="C27" s="270" t="s">
        <v>671</v>
      </c>
      <c r="D27" s="270">
        <v>4</v>
      </c>
      <c r="E27" s="271"/>
      <c r="F27" s="271"/>
      <c r="G27" s="271"/>
      <c r="H27" s="272"/>
      <c r="I27" s="272"/>
      <c r="J27" s="272"/>
      <c r="K27" s="271"/>
      <c r="L27" s="271"/>
      <c r="M27" s="271"/>
      <c r="N27" s="271"/>
      <c r="O27" s="272"/>
      <c r="P27" s="272"/>
      <c r="Q27" s="272"/>
      <c r="R27" s="271"/>
      <c r="S27" s="273"/>
      <c r="T27" s="273"/>
      <c r="U27" s="273"/>
      <c r="V27" s="273"/>
      <c r="W27" s="274"/>
      <c r="X27" s="274"/>
      <c r="Y27" s="274"/>
      <c r="Z27" s="274"/>
      <c r="AA27" s="273"/>
      <c r="AB27" s="273"/>
      <c r="AC27" s="273"/>
      <c r="AD27" s="273"/>
      <c r="AE27" s="273"/>
      <c r="AF27" s="274"/>
      <c r="AG27" s="274"/>
      <c r="AH27" s="273"/>
      <c r="AI27" s="273"/>
      <c r="AJ27" s="273"/>
      <c r="AK27" s="273"/>
      <c r="AL27" s="274"/>
      <c r="AM27" s="275"/>
      <c r="AN27" s="269"/>
      <c r="AO27" s="294"/>
      <c r="AP27" s="189">
        <v>18</v>
      </c>
      <c r="AQ27" s="187">
        <v>12.3</v>
      </c>
      <c r="AR27" s="187">
        <v>13.3</v>
      </c>
      <c r="AS27" s="187">
        <v>14.75</v>
      </c>
      <c r="AT27" s="187"/>
      <c r="AU27" s="187"/>
      <c r="AV27" s="249">
        <v>13.450000000000001</v>
      </c>
      <c r="AW27" s="187">
        <v>14.37</v>
      </c>
      <c r="AX27" s="187">
        <v>12.3</v>
      </c>
      <c r="AY27" s="187">
        <v>12.89</v>
      </c>
      <c r="AZ27" s="187"/>
      <c r="BA27" s="189"/>
      <c r="BB27" s="251">
        <v>13.186666666666667</v>
      </c>
      <c r="BC27" s="188">
        <v>12</v>
      </c>
      <c r="BD27" s="252">
        <v>0</v>
      </c>
      <c r="BE27" s="187"/>
      <c r="BF27" s="187"/>
      <c r="BG27" s="187"/>
      <c r="BH27" s="187"/>
      <c r="BI27" s="189"/>
      <c r="BJ27" s="251" t="e">
        <v>#DIV/0!</v>
      </c>
      <c r="BK27" s="187">
        <v>12.25</v>
      </c>
      <c r="BL27" s="187">
        <v>10.25</v>
      </c>
      <c r="BM27" s="187">
        <v>11.1</v>
      </c>
      <c r="BN27" s="187"/>
      <c r="BO27" s="187"/>
      <c r="BP27" s="251">
        <v>11.200000000000001</v>
      </c>
      <c r="BQ27" s="188">
        <v>11</v>
      </c>
      <c r="BR27" s="252">
        <v>0</v>
      </c>
    </row>
    <row r="28" spans="1:70" ht="14.25" thickTop="1">
      <c r="A28" s="227" t="s">
        <v>736</v>
      </c>
      <c r="B28" s="227" t="s">
        <v>179</v>
      </c>
      <c r="C28" s="228" t="s">
        <v>269</v>
      </c>
      <c r="D28" s="228">
        <v>4</v>
      </c>
      <c r="E28" s="229">
        <v>0.55138888888888704</v>
      </c>
      <c r="F28" s="229">
        <v>0.58359953703703704</v>
      </c>
      <c r="G28" s="229">
        <v>0.6958333333333333</v>
      </c>
      <c r="H28" s="210">
        <v>3.2210648148150001E-2</v>
      </c>
      <c r="I28" s="210">
        <v>0</v>
      </c>
      <c r="J28" s="210">
        <v>0.14444444444444626</v>
      </c>
      <c r="K28" s="229">
        <v>0.14583333333333334</v>
      </c>
      <c r="L28" s="229">
        <v>0.33958333333333335</v>
      </c>
      <c r="M28" s="229">
        <v>0.36376157407407406</v>
      </c>
      <c r="N28" s="229"/>
      <c r="O28" s="210">
        <v>2.4178240740740709E-2</v>
      </c>
      <c r="P28" s="210">
        <v>1.5046296296283845E-4</v>
      </c>
      <c r="Q28" s="210">
        <v>-0.33958333333333335</v>
      </c>
      <c r="R28" s="229">
        <v>0.16666666666666666</v>
      </c>
      <c r="S28" s="230">
        <v>1</v>
      </c>
      <c r="T28" s="230">
        <v>1</v>
      </c>
      <c r="U28" s="230">
        <v>5</v>
      </c>
      <c r="V28" s="230">
        <v>4</v>
      </c>
      <c r="W28" s="240">
        <v>20</v>
      </c>
      <c r="X28" s="240">
        <v>19.899999999999999</v>
      </c>
      <c r="Y28" s="240">
        <v>5</v>
      </c>
      <c r="Z28" s="240">
        <v>5</v>
      </c>
      <c r="AA28" s="230">
        <v>3.4</v>
      </c>
      <c r="AB28" s="230">
        <v>4</v>
      </c>
      <c r="AC28" s="230">
        <v>3.9</v>
      </c>
      <c r="AD28" s="230">
        <v>3.8</v>
      </c>
      <c r="AE28" s="230">
        <v>2</v>
      </c>
      <c r="AF28" s="240">
        <v>2</v>
      </c>
      <c r="AG28" s="240">
        <v>9</v>
      </c>
      <c r="AH28" s="230">
        <v>5</v>
      </c>
      <c r="AI28" s="230">
        <v>5</v>
      </c>
      <c r="AJ28" s="230">
        <v>5</v>
      </c>
      <c r="AK28" s="230">
        <v>5</v>
      </c>
      <c r="AL28" s="240">
        <v>98</v>
      </c>
      <c r="AM28" s="266">
        <v>1</v>
      </c>
      <c r="AN28" s="227"/>
      <c r="AO28" s="294"/>
      <c r="AP28" s="189">
        <v>2</v>
      </c>
      <c r="AQ28" s="250">
        <v>12.2</v>
      </c>
      <c r="AR28" s="250">
        <v>12.15</v>
      </c>
      <c r="AS28" s="250">
        <v>11.55</v>
      </c>
      <c r="AT28" s="250">
        <v>12.65</v>
      </c>
      <c r="AV28" s="250">
        <v>12.137500000000001</v>
      </c>
      <c r="AW28" s="250">
        <v>11.35</v>
      </c>
      <c r="AX28" s="250">
        <v>12.13</v>
      </c>
      <c r="AY28" s="250">
        <v>12.18</v>
      </c>
      <c r="AZ28" s="250">
        <v>12.63</v>
      </c>
      <c r="BB28" s="250">
        <v>12.0725</v>
      </c>
      <c r="BC28" s="250">
        <v>12</v>
      </c>
      <c r="BD28" s="250">
        <v>0</v>
      </c>
      <c r="BJ28" s="251" t="e">
        <v>#DIV/0!</v>
      </c>
      <c r="BK28" s="250">
        <v>11.55</v>
      </c>
      <c r="BL28" s="250">
        <v>11.05</v>
      </c>
      <c r="BM28" s="250">
        <v>10.199999999999999</v>
      </c>
      <c r="BN28" s="250">
        <v>10.8</v>
      </c>
      <c r="BP28" s="250">
        <v>10.899999999999999</v>
      </c>
      <c r="BQ28" s="250">
        <v>11</v>
      </c>
      <c r="BR28" s="250">
        <v>-0.10000000000000142</v>
      </c>
    </row>
    <row r="29" spans="1:70">
      <c r="A29" s="218" t="s">
        <v>736</v>
      </c>
      <c r="B29" s="218" t="s">
        <v>641</v>
      </c>
      <c r="C29" s="219" t="s">
        <v>272</v>
      </c>
      <c r="D29" s="219">
        <v>4</v>
      </c>
      <c r="E29" s="220">
        <v>0.55347222222221903</v>
      </c>
      <c r="F29" s="220">
        <v>0.58853009259259259</v>
      </c>
      <c r="G29" s="220">
        <v>0.69271990740740741</v>
      </c>
      <c r="H29" s="208">
        <v>3.5057870370373556E-2</v>
      </c>
      <c r="I29" s="208">
        <v>2.8472222222235555E-3</v>
      </c>
      <c r="J29" s="208">
        <v>0.13924768518518837</v>
      </c>
      <c r="K29" s="220">
        <v>0.14583333333333334</v>
      </c>
      <c r="L29" s="220">
        <v>0.34027777777777773</v>
      </c>
      <c r="M29" s="220">
        <v>0.3643055555555556</v>
      </c>
      <c r="N29" s="220"/>
      <c r="O29" s="208">
        <v>2.402777777777787E-2</v>
      </c>
      <c r="P29" s="208">
        <v>0</v>
      </c>
      <c r="Q29" s="208">
        <v>-0.34027777777777773</v>
      </c>
      <c r="R29" s="220">
        <v>0.16666666666666666</v>
      </c>
      <c r="S29" s="221">
        <v>0.5</v>
      </c>
      <c r="T29" s="221">
        <v>0.6</v>
      </c>
      <c r="U29" s="221">
        <v>6</v>
      </c>
      <c r="V29" s="221">
        <v>4</v>
      </c>
      <c r="W29" s="238">
        <v>17.899999999999999</v>
      </c>
      <c r="X29" s="238">
        <v>20</v>
      </c>
      <c r="Y29" s="238">
        <v>5</v>
      </c>
      <c r="Z29" s="238">
        <v>5</v>
      </c>
      <c r="AA29" s="221">
        <v>3.7</v>
      </c>
      <c r="AB29" s="221">
        <v>3.9</v>
      </c>
      <c r="AC29" s="221">
        <v>2.8</v>
      </c>
      <c r="AD29" s="221">
        <v>3.4</v>
      </c>
      <c r="AE29" s="221">
        <v>1.8</v>
      </c>
      <c r="AF29" s="238">
        <v>1.1000000000000001</v>
      </c>
      <c r="AG29" s="238">
        <v>10</v>
      </c>
      <c r="AH29" s="221">
        <v>5</v>
      </c>
      <c r="AI29" s="221">
        <v>5</v>
      </c>
      <c r="AJ29" s="221">
        <v>5</v>
      </c>
      <c r="AK29" s="221">
        <v>5</v>
      </c>
      <c r="AL29" s="238">
        <v>94.6</v>
      </c>
      <c r="AM29" s="267">
        <v>2</v>
      </c>
      <c r="AN29" s="218"/>
      <c r="AO29" s="294"/>
      <c r="AP29" s="189">
        <v>1</v>
      </c>
      <c r="AQ29" s="250">
        <v>12</v>
      </c>
      <c r="AR29" s="250">
        <v>10.75</v>
      </c>
      <c r="AS29" s="250">
        <v>12.9</v>
      </c>
      <c r="AT29" s="250">
        <v>13.6</v>
      </c>
      <c r="AV29" s="250">
        <v>12.3125</v>
      </c>
      <c r="AW29" s="250">
        <v>11.34</v>
      </c>
      <c r="AX29" s="250">
        <v>10.130000000000001</v>
      </c>
      <c r="AY29" s="250">
        <v>12.51</v>
      </c>
      <c r="AZ29" s="250">
        <v>14.15</v>
      </c>
      <c r="BB29" s="250">
        <v>12.032499999999999</v>
      </c>
      <c r="BC29" s="250">
        <v>12</v>
      </c>
      <c r="BD29" s="250">
        <v>0</v>
      </c>
      <c r="BJ29" s="251" t="e">
        <v>#DIV/0!</v>
      </c>
      <c r="BK29" s="250">
        <v>8.65</v>
      </c>
      <c r="BL29" s="250">
        <v>10.95</v>
      </c>
      <c r="BM29" s="250">
        <v>11.1</v>
      </c>
      <c r="BN29" s="250">
        <v>15.95</v>
      </c>
      <c r="BP29" s="250">
        <v>11.662500000000001</v>
      </c>
      <c r="BQ29" s="250">
        <v>11</v>
      </c>
      <c r="BR29" s="250">
        <v>0</v>
      </c>
    </row>
    <row r="30" spans="1:70">
      <c r="A30" s="218" t="s">
        <v>736</v>
      </c>
      <c r="B30" s="219" t="s">
        <v>728</v>
      </c>
      <c r="C30" s="219" t="s">
        <v>271</v>
      </c>
      <c r="D30" s="219">
        <v>4</v>
      </c>
      <c r="E30" s="229">
        <v>0.55277777777777504</v>
      </c>
      <c r="F30" s="220">
        <v>0.59457175925925931</v>
      </c>
      <c r="G30" s="220">
        <v>0.69252314814814808</v>
      </c>
      <c r="H30" s="208">
        <v>4.1793981481484277E-2</v>
      </c>
      <c r="I30" s="208">
        <v>9.5833333333342763E-3</v>
      </c>
      <c r="J30" s="208">
        <v>0.13974537037037305</v>
      </c>
      <c r="K30" s="220">
        <v>0.14583333333333334</v>
      </c>
      <c r="L30" s="220">
        <v>0.34097222222222223</v>
      </c>
      <c r="M30" s="220">
        <v>0.3697685185185185</v>
      </c>
      <c r="N30" s="220"/>
      <c r="O30" s="208">
        <v>2.8796296296296264E-2</v>
      </c>
      <c r="P30" s="208">
        <v>4.7685185185183943E-3</v>
      </c>
      <c r="Q30" s="208">
        <v>-0.34097222222222223</v>
      </c>
      <c r="R30" s="220">
        <v>0.16666666666666666</v>
      </c>
      <c r="S30" s="221">
        <v>0.8</v>
      </c>
      <c r="T30" s="221">
        <v>1</v>
      </c>
      <c r="U30" s="221">
        <v>2</v>
      </c>
      <c r="V30" s="221">
        <v>4</v>
      </c>
      <c r="W30" s="238">
        <v>13.1</v>
      </c>
      <c r="X30" s="238">
        <v>16.600000000000001</v>
      </c>
      <c r="Y30" s="238">
        <v>5</v>
      </c>
      <c r="Z30" s="238">
        <v>5</v>
      </c>
      <c r="AA30" s="221">
        <v>3.3</v>
      </c>
      <c r="AB30" s="221">
        <v>3.4</v>
      </c>
      <c r="AC30" s="221">
        <v>2.7</v>
      </c>
      <c r="AD30" s="221">
        <v>2.8</v>
      </c>
      <c r="AE30" s="221">
        <v>1.6</v>
      </c>
      <c r="AF30" s="238">
        <v>1.8</v>
      </c>
      <c r="AG30" s="238">
        <v>6</v>
      </c>
      <c r="AH30" s="221">
        <v>4.5</v>
      </c>
      <c r="AI30" s="221">
        <v>4.8</v>
      </c>
      <c r="AJ30" s="221">
        <v>5</v>
      </c>
      <c r="AK30" s="221">
        <v>5</v>
      </c>
      <c r="AL30" s="238">
        <v>80.599999999999994</v>
      </c>
      <c r="AM30" s="267">
        <v>3</v>
      </c>
      <c r="AN30" s="218"/>
      <c r="AO30" s="294"/>
      <c r="AP30" s="189">
        <v>3</v>
      </c>
      <c r="AQ30" s="250">
        <v>12.95</v>
      </c>
      <c r="AR30" s="250">
        <v>10.95</v>
      </c>
      <c r="AS30" s="250">
        <v>12.3</v>
      </c>
      <c r="AT30" s="250">
        <v>12.1</v>
      </c>
      <c r="AV30" s="250">
        <v>12.075000000000001</v>
      </c>
      <c r="AW30" s="250">
        <v>11.26</v>
      </c>
      <c r="AX30" s="250">
        <v>12.33</v>
      </c>
      <c r="AY30" s="250">
        <v>12.95</v>
      </c>
      <c r="AZ30" s="250">
        <v>12.08</v>
      </c>
      <c r="BB30" s="250">
        <v>12.154999999999999</v>
      </c>
      <c r="BC30" s="250">
        <v>12</v>
      </c>
      <c r="BD30" s="250">
        <v>0</v>
      </c>
      <c r="BJ30" s="250" t="e">
        <v>#DIV/0!</v>
      </c>
      <c r="BK30" s="250">
        <v>11.3</v>
      </c>
      <c r="BL30" s="250">
        <v>9.6</v>
      </c>
      <c r="BM30" s="250">
        <v>11.95</v>
      </c>
      <c r="BN30" s="250">
        <v>11.55</v>
      </c>
      <c r="BP30" s="250">
        <v>11.099999999999998</v>
      </c>
      <c r="BQ30" s="250">
        <v>11</v>
      </c>
      <c r="BR30" s="250">
        <v>0</v>
      </c>
    </row>
    <row r="31" spans="1:70" ht="14.25" thickBot="1">
      <c r="A31" s="223" t="s">
        <v>736</v>
      </c>
      <c r="B31" s="223" t="s">
        <v>182</v>
      </c>
      <c r="C31" s="224" t="s">
        <v>270</v>
      </c>
      <c r="D31" s="224">
        <v>4</v>
      </c>
      <c r="E31" s="225">
        <v>0.55208333333333104</v>
      </c>
      <c r="F31" s="225">
        <v>0.60625000000000007</v>
      </c>
      <c r="G31" s="225">
        <v>0.69125000000000003</v>
      </c>
      <c r="H31" s="209">
        <v>5.4166666666669028E-2</v>
      </c>
      <c r="I31" s="209">
        <v>2.1956018518519027E-2</v>
      </c>
      <c r="J31" s="209">
        <v>0.13916666666666899</v>
      </c>
      <c r="K31" s="225">
        <v>0.14583333333333334</v>
      </c>
      <c r="L31" s="225">
        <v>0.34166666666666662</v>
      </c>
      <c r="M31" s="225">
        <v>0.37372685185185189</v>
      </c>
      <c r="N31" s="225"/>
      <c r="O31" s="209">
        <v>3.2060185185185275E-2</v>
      </c>
      <c r="P31" s="209">
        <v>8.0324074074074048E-3</v>
      </c>
      <c r="Q31" s="209">
        <v>-0.34166666666666662</v>
      </c>
      <c r="R31" s="225">
        <v>0.16666666666666666</v>
      </c>
      <c r="S31" s="226">
        <v>0.8</v>
      </c>
      <c r="T31" s="226">
        <v>1</v>
      </c>
      <c r="U31" s="226">
        <v>3</v>
      </c>
      <c r="V31" s="226">
        <v>4</v>
      </c>
      <c r="W31" s="239">
        <v>4.2</v>
      </c>
      <c r="X31" s="239">
        <v>14.2</v>
      </c>
      <c r="Y31" s="239">
        <v>5</v>
      </c>
      <c r="Z31" s="239">
        <v>5</v>
      </c>
      <c r="AA31" s="226">
        <v>1.5</v>
      </c>
      <c r="AB31" s="226">
        <v>3</v>
      </c>
      <c r="AC31" s="226">
        <v>2.9</v>
      </c>
      <c r="AD31" s="226">
        <v>2.5</v>
      </c>
      <c r="AE31" s="226">
        <v>1.8</v>
      </c>
      <c r="AF31" s="239">
        <v>1.8</v>
      </c>
      <c r="AG31" s="239">
        <v>7</v>
      </c>
      <c r="AH31" s="226">
        <v>5</v>
      </c>
      <c r="AI31" s="226">
        <v>5</v>
      </c>
      <c r="AJ31" s="226">
        <v>5</v>
      </c>
      <c r="AK31" s="226">
        <v>5</v>
      </c>
      <c r="AL31" s="239">
        <v>68.899999999999991</v>
      </c>
      <c r="AM31" s="268">
        <v>4</v>
      </c>
      <c r="AN31" s="223"/>
      <c r="AO31" s="294"/>
      <c r="AP31" s="189">
        <v>4</v>
      </c>
      <c r="AQ31" s="250">
        <v>13.6</v>
      </c>
      <c r="AR31" s="250">
        <v>11.8</v>
      </c>
      <c r="AS31" s="250">
        <v>9.75</v>
      </c>
      <c r="AT31" s="250">
        <v>13.7</v>
      </c>
      <c r="AV31" s="250">
        <v>12.212499999999999</v>
      </c>
      <c r="AW31" s="250">
        <v>14</v>
      </c>
      <c r="AX31" s="250">
        <v>12.87</v>
      </c>
      <c r="AY31" s="250">
        <v>10</v>
      </c>
      <c r="AZ31" s="250">
        <v>12.15</v>
      </c>
      <c r="BB31" s="250">
        <v>12.254999999999999</v>
      </c>
      <c r="BC31" s="250">
        <v>12</v>
      </c>
      <c r="BD31" s="250">
        <v>0</v>
      </c>
      <c r="BJ31" s="251" t="e">
        <v>#DIV/0!</v>
      </c>
      <c r="BK31" s="250">
        <v>11.75</v>
      </c>
      <c r="BL31" s="250">
        <v>9.0500000000000007</v>
      </c>
      <c r="BM31" s="250">
        <v>12.25</v>
      </c>
      <c r="BN31" s="250">
        <v>10.6</v>
      </c>
      <c r="BP31" s="250">
        <v>10.9125</v>
      </c>
      <c r="BQ31" s="250">
        <v>11</v>
      </c>
      <c r="BR31" s="250">
        <v>-8.7500000000000355E-2</v>
      </c>
    </row>
    <row r="32" spans="1:70">
      <c r="A32" s="227" t="s">
        <v>737</v>
      </c>
      <c r="B32" s="227" t="s">
        <v>179</v>
      </c>
      <c r="C32" s="228" t="s">
        <v>755</v>
      </c>
      <c r="D32" s="228">
        <v>4</v>
      </c>
      <c r="E32" s="229">
        <v>0.55763888888888302</v>
      </c>
      <c r="F32" s="229">
        <v>0.59662037037037041</v>
      </c>
      <c r="G32" s="229">
        <v>0.69548611111111114</v>
      </c>
      <c r="H32" s="210">
        <v>3.898148148148739E-2</v>
      </c>
      <c r="I32" s="210">
        <v>6.7708333333373893E-3</v>
      </c>
      <c r="J32" s="210">
        <v>0.13784722222222812</v>
      </c>
      <c r="K32" s="229">
        <v>0.14583333333333334</v>
      </c>
      <c r="L32" s="229">
        <v>0.3430555555555555</v>
      </c>
      <c r="M32" s="229">
        <v>0.3727199074074074</v>
      </c>
      <c r="N32" s="229"/>
      <c r="O32" s="210">
        <v>2.96643518518519E-2</v>
      </c>
      <c r="P32" s="210">
        <v>5.63657407407403E-3</v>
      </c>
      <c r="Q32" s="210">
        <v>-0.3430555555555555</v>
      </c>
      <c r="R32" s="229">
        <v>0.16666666666666666</v>
      </c>
      <c r="S32" s="230">
        <v>1</v>
      </c>
      <c r="T32" s="230">
        <v>0.8</v>
      </c>
      <c r="U32" s="230">
        <v>5</v>
      </c>
      <c r="V32" s="230">
        <v>4</v>
      </c>
      <c r="W32" s="240">
        <v>15.1</v>
      </c>
      <c r="X32" s="240">
        <v>15.9</v>
      </c>
      <c r="Y32" s="240">
        <v>5</v>
      </c>
      <c r="Z32" s="240">
        <v>5</v>
      </c>
      <c r="AA32" s="230">
        <v>2.9</v>
      </c>
      <c r="AB32" s="230">
        <v>3.6</v>
      </c>
      <c r="AC32" s="230">
        <v>3.9</v>
      </c>
      <c r="AD32" s="230">
        <v>2.6</v>
      </c>
      <c r="AE32" s="230">
        <v>2</v>
      </c>
      <c r="AF32" s="240">
        <v>1.8</v>
      </c>
      <c r="AG32" s="240">
        <v>9</v>
      </c>
      <c r="AH32" s="230">
        <v>5</v>
      </c>
      <c r="AI32" s="230">
        <v>5</v>
      </c>
      <c r="AJ32" s="230">
        <v>5</v>
      </c>
      <c r="AK32" s="230">
        <v>5</v>
      </c>
      <c r="AL32" s="240">
        <v>86.8</v>
      </c>
      <c r="AM32" s="266">
        <v>1</v>
      </c>
      <c r="AN32" s="227"/>
      <c r="AO32" s="294"/>
      <c r="AP32" s="189">
        <v>1</v>
      </c>
      <c r="AQ32" s="250">
        <v>12.3</v>
      </c>
      <c r="AR32" s="250">
        <v>12.3</v>
      </c>
      <c r="AS32" s="250">
        <v>12.1</v>
      </c>
      <c r="AT32" s="250">
        <v>12.35</v>
      </c>
      <c r="AV32" s="250">
        <v>12.262500000000001</v>
      </c>
      <c r="AW32" s="250">
        <v>12.18</v>
      </c>
      <c r="AX32" s="250">
        <v>11.47</v>
      </c>
      <c r="AY32" s="250">
        <v>13</v>
      </c>
      <c r="AZ32" s="250">
        <v>12.19</v>
      </c>
      <c r="BB32" s="250">
        <v>12.209999999999999</v>
      </c>
      <c r="BC32" s="250">
        <v>12</v>
      </c>
      <c r="BD32" s="250">
        <v>0</v>
      </c>
      <c r="BJ32" s="250" t="e">
        <v>#DIV/0!</v>
      </c>
      <c r="BK32" s="250">
        <v>11.6</v>
      </c>
      <c r="BL32" s="250">
        <v>11.1</v>
      </c>
      <c r="BM32" s="250">
        <v>11.3</v>
      </c>
      <c r="BN32" s="250">
        <v>11.35</v>
      </c>
      <c r="BP32" s="250">
        <v>11.3375</v>
      </c>
      <c r="BQ32" s="250">
        <v>11</v>
      </c>
      <c r="BR32" s="250">
        <v>0</v>
      </c>
    </row>
    <row r="33" spans="1:70">
      <c r="A33" s="227" t="s">
        <v>737</v>
      </c>
      <c r="B33" s="227" t="s">
        <v>751</v>
      </c>
      <c r="C33" s="228" t="s">
        <v>279</v>
      </c>
      <c r="D33" s="228">
        <v>4</v>
      </c>
      <c r="E33" s="229">
        <v>0.55555555555555103</v>
      </c>
      <c r="F33" s="229">
        <v>0.59673611111111113</v>
      </c>
      <c r="G33" s="229">
        <v>0.69780092592592602</v>
      </c>
      <c r="H33" s="210">
        <v>4.1180555555560105E-2</v>
      </c>
      <c r="I33" s="210">
        <v>8.9699074074101048E-3</v>
      </c>
      <c r="J33" s="210">
        <v>0.14224537037037499</v>
      </c>
      <c r="K33" s="229">
        <v>0.14583333333333334</v>
      </c>
      <c r="L33" s="229">
        <v>0.34375</v>
      </c>
      <c r="M33" s="229">
        <v>0.37359953703703702</v>
      </c>
      <c r="N33" s="229"/>
      <c r="O33" s="210">
        <v>2.9849537037037022E-2</v>
      </c>
      <c r="P33" s="210">
        <v>5.8217592592591516E-3</v>
      </c>
      <c r="Q33" s="210">
        <v>-0.34375</v>
      </c>
      <c r="R33" s="229">
        <v>0.16666666666666666</v>
      </c>
      <c r="S33" s="230">
        <v>0.8</v>
      </c>
      <c r="T33" s="230">
        <v>0.6</v>
      </c>
      <c r="U33" s="230">
        <v>2</v>
      </c>
      <c r="V33" s="230">
        <v>4</v>
      </c>
      <c r="W33" s="240">
        <v>13.5</v>
      </c>
      <c r="X33" s="240">
        <v>15.8</v>
      </c>
      <c r="Y33" s="240">
        <v>5</v>
      </c>
      <c r="Z33" s="240">
        <v>5</v>
      </c>
      <c r="AA33" s="230">
        <v>3.1</v>
      </c>
      <c r="AB33" s="230">
        <v>2.6</v>
      </c>
      <c r="AC33" s="230">
        <v>3.1</v>
      </c>
      <c r="AD33" s="230">
        <v>3.1</v>
      </c>
      <c r="AE33" s="230">
        <v>1.7</v>
      </c>
      <c r="AF33" s="240">
        <v>1.4</v>
      </c>
      <c r="AG33" s="240">
        <v>6</v>
      </c>
      <c r="AH33" s="230">
        <v>4.5999999999999996</v>
      </c>
      <c r="AI33" s="230">
        <v>5</v>
      </c>
      <c r="AJ33" s="230">
        <v>4.5</v>
      </c>
      <c r="AK33" s="230">
        <v>5</v>
      </c>
      <c r="AL33" s="240">
        <v>79.400000000000006</v>
      </c>
      <c r="AM33" s="266">
        <v>2</v>
      </c>
      <c r="AN33" s="227"/>
      <c r="AO33" s="294"/>
      <c r="AP33" s="189">
        <v>2</v>
      </c>
      <c r="AQ33" s="250">
        <v>11.75</v>
      </c>
      <c r="AR33" s="250">
        <v>11.65</v>
      </c>
      <c r="AS33" s="250">
        <v>12.7</v>
      </c>
      <c r="AT33" s="250">
        <v>13.8</v>
      </c>
      <c r="AV33" s="250">
        <v>12.474999999999998</v>
      </c>
      <c r="AW33" s="250">
        <v>11.69</v>
      </c>
      <c r="AX33" s="250">
        <v>12.5</v>
      </c>
      <c r="AY33" s="250">
        <v>11.51</v>
      </c>
      <c r="AZ33" s="250">
        <v>13.67</v>
      </c>
      <c r="BB33" s="250">
        <v>12.342499999999999</v>
      </c>
      <c r="BC33" s="250">
        <v>12</v>
      </c>
      <c r="BD33" s="250">
        <v>0</v>
      </c>
      <c r="BJ33" s="250" t="e">
        <v>#DIV/0!</v>
      </c>
      <c r="BK33" s="250">
        <v>10.7</v>
      </c>
      <c r="BL33" s="250">
        <v>9.4</v>
      </c>
      <c r="BM33" s="250">
        <v>12.4</v>
      </c>
      <c r="BN33" s="250">
        <v>12.3</v>
      </c>
      <c r="BP33" s="250">
        <v>11.2</v>
      </c>
      <c r="BQ33" s="250">
        <v>11</v>
      </c>
      <c r="BR33" s="250">
        <v>0</v>
      </c>
    </row>
    <row r="34" spans="1:70">
      <c r="A34" s="227" t="s">
        <v>737</v>
      </c>
      <c r="B34" s="227" t="s">
        <v>752</v>
      </c>
      <c r="C34" s="228" t="s">
        <v>754</v>
      </c>
      <c r="D34" s="228">
        <v>4</v>
      </c>
      <c r="E34" s="229">
        <v>0.55694444444443902</v>
      </c>
      <c r="F34" s="229">
        <v>0.59842592592592592</v>
      </c>
      <c r="G34" s="229">
        <v>0.69407407407407407</v>
      </c>
      <c r="H34" s="210">
        <v>4.1481481481486893E-2</v>
      </c>
      <c r="I34" s="210">
        <v>9.270833333336892E-3</v>
      </c>
      <c r="J34" s="210">
        <v>0.13712962962963504</v>
      </c>
      <c r="K34" s="229">
        <v>0.14583333333333334</v>
      </c>
      <c r="L34" s="229">
        <v>0.3444444444444445</v>
      </c>
      <c r="M34" s="229">
        <v>0.37557870370370372</v>
      </c>
      <c r="N34" s="229"/>
      <c r="O34" s="210">
        <v>3.1134259259259223E-2</v>
      </c>
      <c r="P34" s="210">
        <v>7.1064814814813526E-3</v>
      </c>
      <c r="Q34" s="210">
        <v>-0.3444444444444445</v>
      </c>
      <c r="R34" s="229">
        <v>0.16666666666666666</v>
      </c>
      <c r="S34" s="230">
        <v>0.2</v>
      </c>
      <c r="T34" s="230">
        <v>0.6</v>
      </c>
      <c r="U34" s="230">
        <v>1</v>
      </c>
      <c r="V34" s="230">
        <v>4</v>
      </c>
      <c r="W34" s="240">
        <v>13.3</v>
      </c>
      <c r="X34" s="240">
        <v>14.9</v>
      </c>
      <c r="Y34" s="240">
        <v>5</v>
      </c>
      <c r="Z34" s="240">
        <v>5</v>
      </c>
      <c r="AA34" s="230">
        <v>2.2999999999999998</v>
      </c>
      <c r="AB34" s="230">
        <v>3.4</v>
      </c>
      <c r="AC34" s="230">
        <v>3.5</v>
      </c>
      <c r="AD34" s="230">
        <v>2.9</v>
      </c>
      <c r="AE34" s="230">
        <v>1.8</v>
      </c>
      <c r="AF34" s="240">
        <v>0.8</v>
      </c>
      <c r="AG34" s="240">
        <v>5</v>
      </c>
      <c r="AH34" s="230">
        <v>4.3</v>
      </c>
      <c r="AI34" s="230">
        <v>5</v>
      </c>
      <c r="AJ34" s="230">
        <v>4.5</v>
      </c>
      <c r="AK34" s="230">
        <v>5</v>
      </c>
      <c r="AL34" s="240">
        <v>76.699999999999989</v>
      </c>
      <c r="AM34" s="266">
        <v>3</v>
      </c>
      <c r="AN34" s="227"/>
      <c r="AO34" s="294"/>
      <c r="AP34" s="189">
        <v>3</v>
      </c>
      <c r="AQ34" s="250">
        <v>16.05</v>
      </c>
      <c r="AR34" s="250">
        <v>9.0500000000000007</v>
      </c>
      <c r="AS34" s="250">
        <v>12.4</v>
      </c>
      <c r="AV34" s="250">
        <v>12.5</v>
      </c>
      <c r="AW34" s="250">
        <v>12.41</v>
      </c>
      <c r="AX34" s="250">
        <v>9.18</v>
      </c>
      <c r="AY34" s="250">
        <v>16.13</v>
      </c>
      <c r="BB34" s="250">
        <v>12.573333333333332</v>
      </c>
      <c r="BC34" s="250">
        <v>12</v>
      </c>
      <c r="BD34" s="250">
        <v>0</v>
      </c>
      <c r="BJ34" s="250" t="e">
        <v>#DIV/0!</v>
      </c>
      <c r="BK34" s="250">
        <v>11.5</v>
      </c>
      <c r="BL34" s="250">
        <v>8.8000000000000007</v>
      </c>
      <c r="BM34" s="250">
        <v>14.45</v>
      </c>
      <c r="BP34" s="250">
        <v>11.583333333333334</v>
      </c>
      <c r="BQ34" s="250">
        <v>11</v>
      </c>
      <c r="BR34" s="250">
        <v>0</v>
      </c>
    </row>
    <row r="35" spans="1:70">
      <c r="A35" s="227" t="s">
        <v>737</v>
      </c>
      <c r="B35" s="218" t="s">
        <v>728</v>
      </c>
      <c r="C35" s="228" t="s">
        <v>278</v>
      </c>
      <c r="D35" s="228">
        <v>4</v>
      </c>
      <c r="E35" s="229">
        <v>0.55486111111110703</v>
      </c>
      <c r="F35" s="229">
        <v>0.59811342592592587</v>
      </c>
      <c r="G35" s="229">
        <v>0.70185185185185184</v>
      </c>
      <c r="H35" s="210">
        <v>4.3252314814818837E-2</v>
      </c>
      <c r="I35" s="210">
        <v>1.1041666666668837E-2</v>
      </c>
      <c r="J35" s="210">
        <v>0.14699074074074481</v>
      </c>
      <c r="K35" s="229">
        <v>0.14583333333333334</v>
      </c>
      <c r="L35" s="229">
        <v>0.34583333333333338</v>
      </c>
      <c r="M35" s="229">
        <v>0.37504629629629632</v>
      </c>
      <c r="N35" s="229"/>
      <c r="O35" s="210">
        <v>2.9212962962962941E-2</v>
      </c>
      <c r="P35" s="210">
        <v>5.1851851851850705E-3</v>
      </c>
      <c r="Q35" s="210">
        <v>-0.34583333333333338</v>
      </c>
      <c r="R35" s="229">
        <v>0.16666666666666666</v>
      </c>
      <c r="S35" s="230">
        <v>0.7</v>
      </c>
      <c r="T35" s="230">
        <v>1</v>
      </c>
      <c r="U35" s="230">
        <v>2</v>
      </c>
      <c r="V35" s="230">
        <v>4</v>
      </c>
      <c r="W35" s="240">
        <v>12</v>
      </c>
      <c r="X35" s="240">
        <v>16.3</v>
      </c>
      <c r="Y35" s="240">
        <v>4.7</v>
      </c>
      <c r="Z35" s="240">
        <v>5</v>
      </c>
      <c r="AA35" s="230">
        <v>2.5</v>
      </c>
      <c r="AB35" s="230">
        <v>2.9</v>
      </c>
      <c r="AC35" s="230">
        <v>1.9</v>
      </c>
      <c r="AD35" s="230">
        <v>2</v>
      </c>
      <c r="AE35" s="230">
        <v>1.8</v>
      </c>
      <c r="AF35" s="240">
        <v>1.7</v>
      </c>
      <c r="AG35" s="240">
        <v>6</v>
      </c>
      <c r="AH35" s="230">
        <v>4.5</v>
      </c>
      <c r="AI35" s="230">
        <v>5</v>
      </c>
      <c r="AJ35" s="230">
        <v>5</v>
      </c>
      <c r="AK35" s="230">
        <v>5</v>
      </c>
      <c r="AL35" s="240">
        <v>76.3</v>
      </c>
      <c r="AM35" s="266">
        <v>4</v>
      </c>
      <c r="AN35" s="227"/>
      <c r="AO35" s="294"/>
      <c r="AP35" s="189">
        <v>4</v>
      </c>
      <c r="AQ35" s="250">
        <v>12.3</v>
      </c>
      <c r="AR35" s="250">
        <v>12.05</v>
      </c>
      <c r="AS35" s="250">
        <v>12.65</v>
      </c>
      <c r="AT35" s="250">
        <v>12.45</v>
      </c>
      <c r="AV35" s="250">
        <v>12.362500000000001</v>
      </c>
      <c r="AW35" s="250">
        <v>11.99</v>
      </c>
      <c r="AX35" s="250">
        <v>12.17</v>
      </c>
      <c r="AY35" s="250">
        <v>12.33</v>
      </c>
      <c r="AZ35" s="250">
        <v>11.89</v>
      </c>
      <c r="BB35" s="250">
        <v>12.095000000000001</v>
      </c>
      <c r="BC35" s="250">
        <v>12</v>
      </c>
      <c r="BD35" s="250">
        <v>0</v>
      </c>
      <c r="BJ35" s="250" t="e">
        <v>#DIV/0!</v>
      </c>
      <c r="BK35" s="250">
        <v>12.2</v>
      </c>
      <c r="BL35" s="250">
        <v>11.45</v>
      </c>
      <c r="BM35" s="250">
        <v>12</v>
      </c>
      <c r="BP35" s="250">
        <v>11.883333333333333</v>
      </c>
      <c r="BQ35" s="250">
        <v>11</v>
      </c>
      <c r="BR35" s="250">
        <v>0</v>
      </c>
    </row>
    <row r="36" spans="1:70">
      <c r="A36" s="227" t="s">
        <v>737</v>
      </c>
      <c r="B36" s="227" t="s">
        <v>122</v>
      </c>
      <c r="C36" s="228" t="s">
        <v>634</v>
      </c>
      <c r="D36" s="219">
        <v>3</v>
      </c>
      <c r="E36" s="220">
        <v>0.55624999999999503</v>
      </c>
      <c r="F36" s="220">
        <v>0.60712962962962969</v>
      </c>
      <c r="G36" s="220">
        <v>0.69826388888888891</v>
      </c>
      <c r="H36" s="208">
        <v>5.087962962963466E-2</v>
      </c>
      <c r="I36" s="208">
        <v>1.8668981481484659E-2</v>
      </c>
      <c r="J36" s="208">
        <v>0.14201388888889388</v>
      </c>
      <c r="K36" s="220">
        <v>0.14583333333333334</v>
      </c>
      <c r="L36" s="220">
        <v>0.34652777777777777</v>
      </c>
      <c r="M36" s="220">
        <v>0.38217592592592592</v>
      </c>
      <c r="N36" s="220"/>
      <c r="O36" s="208">
        <v>3.5648148148148151E-2</v>
      </c>
      <c r="P36" s="208">
        <v>1.1620370370370281E-2</v>
      </c>
      <c r="Q36" s="208">
        <v>-0.34652777777777777</v>
      </c>
      <c r="R36" s="220">
        <v>0.16666666666666666</v>
      </c>
      <c r="S36" s="221">
        <v>0.6</v>
      </c>
      <c r="T36" s="221">
        <v>0.6</v>
      </c>
      <c r="U36" s="221">
        <v>3</v>
      </c>
      <c r="V36" s="221">
        <v>4</v>
      </c>
      <c r="W36" s="238">
        <v>6.6</v>
      </c>
      <c r="X36" s="238">
        <v>11.6</v>
      </c>
      <c r="Y36" s="238">
        <v>5</v>
      </c>
      <c r="Z36" s="238">
        <v>5</v>
      </c>
      <c r="AA36" s="221">
        <v>3.2</v>
      </c>
      <c r="AB36" s="221">
        <v>2</v>
      </c>
      <c r="AC36" s="221">
        <v>3</v>
      </c>
      <c r="AD36" s="221">
        <v>2.7</v>
      </c>
      <c r="AE36" s="221">
        <v>1.6</v>
      </c>
      <c r="AF36" s="238">
        <v>1.2</v>
      </c>
      <c r="AG36" s="238">
        <v>7</v>
      </c>
      <c r="AH36" s="221">
        <v>4.5</v>
      </c>
      <c r="AI36" s="221">
        <v>4.8</v>
      </c>
      <c r="AJ36" s="221">
        <v>5</v>
      </c>
      <c r="AK36" s="221">
        <v>5</v>
      </c>
      <c r="AL36" s="238">
        <v>68.2</v>
      </c>
      <c r="AM36" s="267">
        <v>5</v>
      </c>
      <c r="AN36" s="218"/>
      <c r="AO36" s="294"/>
    </row>
    <row r="37" spans="1:70">
      <c r="A37" s="291" t="s">
        <v>737</v>
      </c>
      <c r="B37" s="218" t="s">
        <v>750</v>
      </c>
      <c r="C37" s="228" t="s">
        <v>277</v>
      </c>
      <c r="D37" s="219">
        <v>4</v>
      </c>
      <c r="E37" s="229">
        <v>0.55416666666666303</v>
      </c>
      <c r="F37" s="220">
        <v>0.5970833333333333</v>
      </c>
      <c r="G37" s="220">
        <v>0.69884259259259263</v>
      </c>
      <c r="H37" s="208">
        <v>4.2916666666670267E-2</v>
      </c>
      <c r="I37" s="208">
        <v>1.0706018518520266E-2</v>
      </c>
      <c r="J37" s="208">
        <v>0.14467592592592959</v>
      </c>
      <c r="K37" s="220">
        <v>0.14583333333333334</v>
      </c>
      <c r="L37" s="220">
        <v>0.34513888888888888</v>
      </c>
      <c r="M37" s="220">
        <v>0.37442129629629628</v>
      </c>
      <c r="N37" s="220"/>
      <c r="O37" s="208">
        <v>2.9282407407407396E-2</v>
      </c>
      <c r="P37" s="208">
        <v>5.2546296296295258E-3</v>
      </c>
      <c r="Q37" s="208">
        <v>-0.34513888888888888</v>
      </c>
      <c r="R37" s="220">
        <v>0.16666666666666666</v>
      </c>
      <c r="S37" s="221">
        <v>0.4</v>
      </c>
      <c r="T37" s="295">
        <v>0</v>
      </c>
      <c r="U37" s="221">
        <v>4</v>
      </c>
      <c r="V37" s="221">
        <v>0</v>
      </c>
      <c r="W37" s="238">
        <v>12.3</v>
      </c>
      <c r="X37" s="238">
        <v>16.2</v>
      </c>
      <c r="Y37" s="238">
        <v>5</v>
      </c>
      <c r="Z37" s="238">
        <v>5</v>
      </c>
      <c r="AA37" s="221">
        <v>3.1</v>
      </c>
      <c r="AB37" s="221">
        <v>2</v>
      </c>
      <c r="AC37" s="221">
        <v>4</v>
      </c>
      <c r="AD37" s="221">
        <v>3.4</v>
      </c>
      <c r="AE37" s="221">
        <v>1.8</v>
      </c>
      <c r="AF37" s="238">
        <v>0.4</v>
      </c>
      <c r="AG37" s="238">
        <v>4</v>
      </c>
      <c r="AH37" s="221">
        <v>5</v>
      </c>
      <c r="AI37" s="221">
        <v>5</v>
      </c>
      <c r="AJ37" s="221">
        <v>5</v>
      </c>
      <c r="AK37" s="296">
        <v>4</v>
      </c>
      <c r="AL37" s="238"/>
      <c r="AM37" s="267"/>
      <c r="AN37" s="218" t="s">
        <v>763</v>
      </c>
      <c r="AO37" s="294"/>
    </row>
    <row r="38" spans="1:70" s="248" customFormat="1">
      <c r="A38" s="291" t="s">
        <v>737</v>
      </c>
      <c r="B38" s="218" t="s">
        <v>753</v>
      </c>
      <c r="C38" s="228" t="s">
        <v>756</v>
      </c>
      <c r="D38" s="219">
        <v>3</v>
      </c>
      <c r="E38" s="220">
        <v>0.55833333333332702</v>
      </c>
      <c r="F38" s="220">
        <v>0.59597222222222224</v>
      </c>
      <c r="G38" s="220">
        <v>0.6888657407407407</v>
      </c>
      <c r="H38" s="208">
        <v>3.7638888888895217E-2</v>
      </c>
      <c r="I38" s="208">
        <v>5.428240740745216E-3</v>
      </c>
      <c r="J38" s="208">
        <v>0.13053240740741368</v>
      </c>
      <c r="K38" s="220">
        <v>0.14583333333333334</v>
      </c>
      <c r="L38" s="220">
        <v>0.34236111111111112</v>
      </c>
      <c r="M38" s="220">
        <v>0.36906250000000002</v>
      </c>
      <c r="N38" s="220"/>
      <c r="O38" s="208">
        <v>2.6701388888888899E-2</v>
      </c>
      <c r="P38" s="208">
        <v>2.6736111111110294E-3</v>
      </c>
      <c r="Q38" s="208">
        <v>-0.34236111111111112</v>
      </c>
      <c r="R38" s="220">
        <v>0.16666666666666666</v>
      </c>
      <c r="S38" s="221">
        <v>0</v>
      </c>
      <c r="T38" s="221">
        <v>0.2</v>
      </c>
      <c r="U38" s="221">
        <v>4</v>
      </c>
      <c r="V38" s="221">
        <v>4</v>
      </c>
      <c r="W38" s="238">
        <v>16.100000000000001</v>
      </c>
      <c r="X38" s="238">
        <v>18.100000000000001</v>
      </c>
      <c r="Y38" s="238">
        <v>5</v>
      </c>
      <c r="Z38" s="238">
        <v>5</v>
      </c>
      <c r="AA38" s="221">
        <v>2.6</v>
      </c>
      <c r="AB38" s="221">
        <v>3.1</v>
      </c>
      <c r="AC38" s="221">
        <v>2.4</v>
      </c>
      <c r="AD38" s="221">
        <v>2.2999999999999998</v>
      </c>
      <c r="AE38" s="221">
        <v>1.4</v>
      </c>
      <c r="AF38" s="238">
        <v>0.2</v>
      </c>
      <c r="AG38" s="238">
        <v>8</v>
      </c>
      <c r="AH38" s="221">
        <v>3.5</v>
      </c>
      <c r="AI38" s="221">
        <v>5</v>
      </c>
      <c r="AJ38" s="221">
        <v>3</v>
      </c>
      <c r="AK38" s="221">
        <v>5</v>
      </c>
      <c r="AL38" s="238"/>
      <c r="AM38" s="267"/>
      <c r="AN38" s="218" t="s">
        <v>764</v>
      </c>
      <c r="AO38" s="294"/>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row>
    <row r="39" spans="1:70" s="248" customFormat="1">
      <c r="A39" s="218"/>
      <c r="B39" s="218"/>
      <c r="C39" s="219"/>
      <c r="D39" s="219"/>
      <c r="E39" s="220"/>
      <c r="F39" s="220"/>
      <c r="G39" s="220"/>
      <c r="H39" s="208"/>
      <c r="I39" s="208"/>
      <c r="J39" s="208"/>
      <c r="K39" s="220"/>
      <c r="L39" s="220"/>
      <c r="M39" s="220"/>
      <c r="N39" s="220"/>
      <c r="O39" s="208"/>
      <c r="P39" s="208"/>
      <c r="Q39" s="208"/>
      <c r="R39" s="220"/>
      <c r="S39" s="221"/>
      <c r="T39" s="221"/>
      <c r="U39" s="221"/>
      <c r="V39" s="221"/>
      <c r="W39" s="238"/>
      <c r="X39" s="238"/>
      <c r="Y39" s="238"/>
      <c r="Z39" s="238"/>
      <c r="AA39" s="221"/>
      <c r="AB39" s="221"/>
      <c r="AC39" s="221"/>
      <c r="AD39" s="221"/>
      <c r="AE39" s="221"/>
      <c r="AF39" s="238"/>
      <c r="AG39" s="238"/>
      <c r="AH39" s="221"/>
      <c r="AI39" s="221"/>
      <c r="AJ39" s="221"/>
      <c r="AK39" s="221"/>
      <c r="AL39" s="238"/>
      <c r="AM39" s="243"/>
      <c r="AN39" s="218"/>
      <c r="AO39" s="294"/>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row>
    <row r="40" spans="1:70" s="198" customFormat="1">
      <c r="A40" s="218"/>
      <c r="B40" s="218"/>
      <c r="C40" s="219"/>
      <c r="D40" s="219"/>
      <c r="E40" s="220"/>
      <c r="F40" s="220"/>
      <c r="G40" s="220"/>
      <c r="H40" s="208"/>
      <c r="I40" s="208"/>
      <c r="J40" s="208"/>
      <c r="K40" s="220"/>
      <c r="L40" s="220"/>
      <c r="M40" s="220"/>
      <c r="N40" s="220"/>
      <c r="O40" s="208"/>
      <c r="P40" s="208"/>
      <c r="Q40" s="208"/>
      <c r="R40" s="220"/>
      <c r="S40" s="221"/>
      <c r="T40" s="221"/>
      <c r="U40" s="221"/>
      <c r="V40" s="221"/>
      <c r="W40" s="238"/>
      <c r="X40" s="238"/>
      <c r="Y40" s="238"/>
      <c r="Z40" s="238"/>
      <c r="AA40" s="221"/>
      <c r="AB40" s="221"/>
      <c r="AC40" s="221"/>
      <c r="AD40" s="221"/>
      <c r="AE40" s="221"/>
      <c r="AF40" s="238"/>
      <c r="AG40" s="238"/>
      <c r="AH40" s="221"/>
      <c r="AI40" s="221"/>
      <c r="AJ40" s="221"/>
      <c r="AK40" s="221"/>
      <c r="AL40" s="238"/>
      <c r="AM40" s="243"/>
      <c r="AN40" s="218"/>
      <c r="AO40" s="294"/>
      <c r="AP40" s="81"/>
    </row>
    <row r="41" spans="1:70" s="198" customFormat="1">
      <c r="A41" s="81"/>
      <c r="B41" s="81" t="s">
        <v>761</v>
      </c>
      <c r="C41" s="201"/>
      <c r="D41" s="201"/>
      <c r="E41" s="192"/>
      <c r="F41" s="192"/>
      <c r="G41" s="192"/>
      <c r="H41" s="202"/>
      <c r="I41" s="202"/>
      <c r="J41" s="202"/>
      <c r="K41" s="192"/>
      <c r="L41" s="192"/>
      <c r="M41" s="192"/>
      <c r="N41" s="192"/>
      <c r="O41" s="202"/>
      <c r="P41" s="202"/>
      <c r="Q41" s="202"/>
      <c r="R41" s="192"/>
      <c r="S41" s="81"/>
      <c r="T41" s="81"/>
      <c r="U41" s="81"/>
      <c r="V41" s="81"/>
      <c r="W41" s="203"/>
      <c r="X41" s="81"/>
      <c r="Y41" s="81"/>
      <c r="Z41" s="81"/>
      <c r="AA41" s="81"/>
      <c r="AB41" s="81"/>
      <c r="AC41" s="81"/>
      <c r="AD41" s="81"/>
      <c r="AE41" s="81"/>
      <c r="AF41" s="81"/>
      <c r="AG41" s="81"/>
      <c r="AH41" s="81"/>
      <c r="AI41" s="81"/>
      <c r="AJ41" s="81"/>
      <c r="AK41" s="81"/>
      <c r="AL41" s="81"/>
      <c r="AM41" s="81"/>
      <c r="AN41" s="81"/>
      <c r="AO41" s="81"/>
      <c r="AP41" s="81"/>
    </row>
    <row r="42" spans="1:70" s="277" customFormat="1">
      <c r="A42" s="81"/>
      <c r="B42" s="81" t="s">
        <v>694</v>
      </c>
      <c r="C42" s="201"/>
      <c r="D42" s="201"/>
      <c r="E42" s="191"/>
      <c r="F42" s="191"/>
      <c r="G42" s="192"/>
      <c r="H42" s="202"/>
      <c r="I42" s="192"/>
      <c r="J42" s="192"/>
      <c r="K42" s="192"/>
      <c r="L42" s="192"/>
      <c r="M42" s="192"/>
      <c r="N42" s="193"/>
      <c r="O42" s="193"/>
      <c r="P42" s="193"/>
      <c r="Q42" s="193"/>
      <c r="R42" s="193"/>
      <c r="S42" s="81"/>
      <c r="T42" s="198"/>
      <c r="U42" s="193"/>
      <c r="V42" s="193"/>
      <c r="W42" s="193">
        <v>20</v>
      </c>
      <c r="X42" s="193">
        <v>20</v>
      </c>
      <c r="Y42" s="193">
        <v>5</v>
      </c>
      <c r="Z42" s="193">
        <v>5</v>
      </c>
      <c r="AA42" s="193">
        <v>4</v>
      </c>
      <c r="AB42" s="193">
        <v>4</v>
      </c>
      <c r="AC42" s="193">
        <v>4</v>
      </c>
      <c r="AD42" s="193">
        <v>3.8</v>
      </c>
      <c r="AE42" s="193">
        <v>2</v>
      </c>
      <c r="AF42" s="193">
        <v>2</v>
      </c>
      <c r="AG42" s="193">
        <v>10</v>
      </c>
      <c r="AH42" s="193">
        <v>5</v>
      </c>
      <c r="AI42" s="193">
        <v>5</v>
      </c>
      <c r="AJ42" s="193">
        <v>5</v>
      </c>
      <c r="AK42" s="193">
        <v>5</v>
      </c>
      <c r="AL42" s="193">
        <v>98.2</v>
      </c>
      <c r="AM42" s="81"/>
      <c r="AN42" s="81"/>
      <c r="AO42" s="81"/>
      <c r="AP42" s="276"/>
    </row>
    <row r="43" spans="1:70" s="258" customFormat="1">
      <c r="A43" s="81"/>
      <c r="B43" s="81" t="s">
        <v>695</v>
      </c>
      <c r="C43" s="201"/>
      <c r="D43" s="201"/>
      <c r="E43" s="191"/>
      <c r="F43" s="191"/>
      <c r="G43" s="192"/>
      <c r="H43" s="202"/>
      <c r="I43" s="192"/>
      <c r="J43" s="192"/>
      <c r="K43" s="192"/>
      <c r="L43" s="192"/>
      <c r="M43" s="192"/>
      <c r="N43" s="193"/>
      <c r="O43" s="193"/>
      <c r="P43" s="193"/>
      <c r="Q43" s="193"/>
      <c r="R43" s="193"/>
      <c r="S43" s="81"/>
      <c r="T43" s="198"/>
      <c r="U43" s="193"/>
      <c r="V43" s="193"/>
      <c r="W43" s="193">
        <v>4.2</v>
      </c>
      <c r="X43" s="193">
        <v>6.6</v>
      </c>
      <c r="Y43" s="193">
        <v>4.7</v>
      </c>
      <c r="Z43" s="193">
        <v>5</v>
      </c>
      <c r="AA43" s="193">
        <v>0.5</v>
      </c>
      <c r="AB43" s="193">
        <v>0</v>
      </c>
      <c r="AC43" s="193">
        <v>1.2</v>
      </c>
      <c r="AD43" s="193">
        <v>0</v>
      </c>
      <c r="AE43" s="193">
        <v>0.8</v>
      </c>
      <c r="AF43" s="193">
        <v>0.2</v>
      </c>
      <c r="AG43" s="193">
        <v>1</v>
      </c>
      <c r="AH43" s="193">
        <v>1</v>
      </c>
      <c r="AI43" s="193">
        <v>3.8</v>
      </c>
      <c r="AJ43" s="193">
        <v>3</v>
      </c>
      <c r="AK43" s="193">
        <v>4</v>
      </c>
      <c r="AL43" s="193">
        <v>48.600000000000009</v>
      </c>
      <c r="AM43" s="81"/>
      <c r="AN43" s="81"/>
      <c r="AO43" s="81"/>
      <c r="AP43" s="257"/>
    </row>
    <row r="44" spans="1:70" s="198" customFormat="1">
      <c r="A44" s="81"/>
      <c r="B44" s="81" t="s">
        <v>696</v>
      </c>
      <c r="C44" s="201"/>
      <c r="D44" s="201"/>
      <c r="E44" s="191"/>
      <c r="F44" s="191"/>
      <c r="G44" s="192"/>
      <c r="H44" s="202"/>
      <c r="I44" s="192"/>
      <c r="J44" s="192"/>
      <c r="K44" s="192"/>
      <c r="L44" s="192"/>
      <c r="M44" s="192"/>
      <c r="N44" s="193"/>
      <c r="O44" s="193"/>
      <c r="P44" s="193"/>
      <c r="Q44" s="193"/>
      <c r="R44" s="193"/>
      <c r="S44" s="81"/>
      <c r="U44" s="193"/>
      <c r="V44" s="193"/>
      <c r="W44" s="193">
        <v>13.522857142857147</v>
      </c>
      <c r="X44" s="193">
        <v>15.522857142857145</v>
      </c>
      <c r="Y44" s="193">
        <v>4.9914285714285711</v>
      </c>
      <c r="Z44" s="193">
        <v>5</v>
      </c>
      <c r="AA44" s="193">
        <v>2.6142857142857134</v>
      </c>
      <c r="AB44" s="193">
        <v>2.9142857142857141</v>
      </c>
      <c r="AC44" s="193">
        <v>2.9800000000000009</v>
      </c>
      <c r="AD44" s="193">
        <v>2.5142857142857138</v>
      </c>
      <c r="AE44" s="193">
        <v>1.7114285714285711</v>
      </c>
      <c r="AF44" s="193">
        <v>1.3457142857142856</v>
      </c>
      <c r="AG44" s="193">
        <v>7</v>
      </c>
      <c r="AH44" s="193">
        <v>3.9199999999999995</v>
      </c>
      <c r="AI44" s="193">
        <v>4.8371428571428572</v>
      </c>
      <c r="AJ44" s="193">
        <v>4.7</v>
      </c>
      <c r="AK44" s="193">
        <v>4.9428571428571431</v>
      </c>
      <c r="AL44" s="193">
        <v>78.237499999999997</v>
      </c>
      <c r="AM44" s="81"/>
      <c r="AN44" s="81"/>
      <c r="AO44" s="81"/>
      <c r="AP44" s="81"/>
    </row>
    <row r="45" spans="1:70" s="198" customFormat="1">
      <c r="A45" s="81"/>
      <c r="B45" s="81" t="s">
        <v>697</v>
      </c>
      <c r="C45" s="201"/>
      <c r="D45" s="201"/>
      <c r="E45" s="191"/>
      <c r="F45" s="191"/>
      <c r="G45" s="192"/>
      <c r="H45" s="202"/>
      <c r="I45" s="192"/>
      <c r="J45" s="192"/>
      <c r="K45" s="192"/>
      <c r="L45" s="192"/>
      <c r="M45" s="192"/>
      <c r="N45" s="193"/>
      <c r="O45" s="193"/>
      <c r="P45" s="204"/>
      <c r="Q45" s="204"/>
      <c r="R45" s="204"/>
      <c r="S45" s="81"/>
      <c r="U45" s="204"/>
      <c r="V45" s="204"/>
      <c r="W45" s="205">
        <v>0.67614285714285738</v>
      </c>
      <c r="X45" s="205">
        <v>0.77614285714285725</v>
      </c>
      <c r="Y45" s="205">
        <v>0.99828571428571422</v>
      </c>
      <c r="Z45" s="205">
        <v>1</v>
      </c>
      <c r="AA45" s="205">
        <v>0.65357142857142836</v>
      </c>
      <c r="AB45" s="205">
        <v>0.72857142857142854</v>
      </c>
      <c r="AC45" s="205">
        <v>0.74500000000000022</v>
      </c>
      <c r="AD45" s="205">
        <v>0.62857142857142845</v>
      </c>
      <c r="AE45" s="205">
        <v>0.85571428571428554</v>
      </c>
      <c r="AF45" s="205">
        <v>0.67285714285714282</v>
      </c>
      <c r="AG45" s="205">
        <v>0.7</v>
      </c>
      <c r="AH45" s="205">
        <v>0.78399999999999992</v>
      </c>
      <c r="AI45" s="205">
        <v>0.96742857142857142</v>
      </c>
      <c r="AJ45" s="205">
        <v>0.94000000000000006</v>
      </c>
      <c r="AK45" s="205">
        <v>0.98857142857142866</v>
      </c>
      <c r="AL45" s="205">
        <v>0.78237499999999993</v>
      </c>
      <c r="AM45" s="81"/>
      <c r="AN45" s="81"/>
      <c r="AO45" s="81"/>
      <c r="AP45" s="81"/>
    </row>
    <row r="46" spans="1:70">
      <c r="A46" s="81"/>
      <c r="B46" s="81"/>
      <c r="C46" s="201"/>
      <c r="D46" s="201"/>
      <c r="E46" s="191"/>
      <c r="F46" s="191"/>
      <c r="G46" s="192"/>
      <c r="H46" s="202"/>
      <c r="I46" s="192"/>
      <c r="J46" s="192"/>
      <c r="K46" s="192"/>
      <c r="L46" s="192"/>
      <c r="M46" s="192"/>
      <c r="N46" s="193"/>
      <c r="O46" s="193"/>
      <c r="P46" s="193"/>
      <c r="Q46" s="193"/>
      <c r="R46" s="193"/>
      <c r="S46" s="81"/>
      <c r="T46" s="81"/>
      <c r="U46" s="193"/>
      <c r="V46" s="193"/>
      <c r="W46" s="194"/>
      <c r="X46" s="193"/>
      <c r="Y46" s="193"/>
      <c r="Z46" s="193"/>
      <c r="AA46" s="81"/>
      <c r="AB46" s="81"/>
      <c r="AC46" s="81"/>
      <c r="AD46" s="81"/>
      <c r="AE46" s="81"/>
      <c r="AF46" s="81"/>
      <c r="AG46" s="81"/>
      <c r="AH46" s="193"/>
      <c r="AI46" s="193"/>
      <c r="AJ46" s="193"/>
      <c r="AK46" s="81"/>
      <c r="AL46" s="81"/>
      <c r="AM46" s="81"/>
      <c r="AN46" s="81"/>
      <c r="AO46" s="81"/>
    </row>
    <row r="47" spans="1:70">
      <c r="A47" s="81"/>
      <c r="B47" s="198"/>
      <c r="C47" s="201"/>
      <c r="D47" s="201"/>
      <c r="E47" s="191"/>
      <c r="F47" s="191"/>
      <c r="G47" s="192"/>
      <c r="H47" s="202"/>
      <c r="I47" s="192"/>
      <c r="J47" s="192"/>
      <c r="K47" s="192"/>
      <c r="L47" s="192"/>
      <c r="M47" s="192"/>
      <c r="N47" s="193"/>
      <c r="O47" s="193"/>
      <c r="P47" s="193"/>
      <c r="Q47" s="193"/>
      <c r="R47" s="193"/>
      <c r="S47" s="81"/>
      <c r="T47" s="198"/>
      <c r="U47" s="193"/>
      <c r="V47" s="193"/>
      <c r="W47" s="192"/>
      <c r="X47" s="193"/>
      <c r="Y47" s="193"/>
      <c r="Z47" s="193"/>
      <c r="AA47" s="81"/>
      <c r="AB47" s="81"/>
      <c r="AC47" s="81"/>
      <c r="AD47" s="81"/>
      <c r="AE47" s="81"/>
      <c r="AF47" s="81"/>
      <c r="AG47" s="81"/>
      <c r="AH47" s="193"/>
      <c r="AI47" s="193"/>
      <c r="AJ47" s="193"/>
      <c r="AK47" s="81"/>
      <c r="AL47" s="81"/>
      <c r="AM47" s="81"/>
      <c r="AN47" s="81"/>
      <c r="AO47" s="81"/>
    </row>
    <row r="48" spans="1:70">
      <c r="A48" s="81"/>
      <c r="B48" s="81"/>
      <c r="C48" s="201"/>
      <c r="D48" s="201"/>
      <c r="E48" s="192"/>
      <c r="F48" s="192"/>
      <c r="G48" s="192"/>
      <c r="H48" s="202"/>
      <c r="I48" s="202"/>
      <c r="J48" s="202"/>
      <c r="K48" s="192"/>
      <c r="L48" s="192"/>
      <c r="M48" s="192"/>
      <c r="N48" s="192"/>
      <c r="O48" s="202"/>
      <c r="P48" s="202"/>
      <c r="Q48" s="202"/>
      <c r="R48" s="192"/>
      <c r="S48" s="81"/>
      <c r="T48" s="81"/>
      <c r="U48" s="81"/>
      <c r="V48" s="81"/>
      <c r="W48" s="203"/>
      <c r="X48" s="81"/>
      <c r="Y48" s="81"/>
      <c r="Z48" s="81"/>
      <c r="AA48" s="81"/>
      <c r="AB48" s="81"/>
      <c r="AC48" s="81"/>
      <c r="AD48" s="81"/>
      <c r="AE48" s="81"/>
      <c r="AF48" s="81"/>
      <c r="AG48" s="81"/>
      <c r="AH48" s="81"/>
      <c r="AI48" s="81"/>
      <c r="AJ48" s="81"/>
      <c r="AK48" s="81"/>
      <c r="AL48" s="81"/>
      <c r="AM48" s="81"/>
      <c r="AN48" s="81"/>
      <c r="AO48" s="81"/>
    </row>
    <row r="49" spans="1:70">
      <c r="A49" s="81"/>
      <c r="B49" s="81"/>
      <c r="C49" s="201"/>
      <c r="D49" s="201"/>
      <c r="E49" s="192"/>
      <c r="F49" s="192"/>
      <c r="G49" s="192"/>
      <c r="H49" s="202"/>
      <c r="I49" s="202"/>
      <c r="J49" s="202"/>
      <c r="K49" s="192"/>
      <c r="L49" s="192"/>
      <c r="M49" s="192"/>
      <c r="N49" s="192"/>
      <c r="O49" s="202"/>
      <c r="P49" s="202"/>
      <c r="Q49" s="202"/>
      <c r="R49" s="192"/>
      <c r="S49" s="81"/>
      <c r="T49" s="81"/>
      <c r="U49" s="81"/>
      <c r="V49" s="81"/>
      <c r="W49" s="203"/>
      <c r="X49" s="81"/>
      <c r="Y49" s="81"/>
      <c r="Z49" s="81"/>
      <c r="AA49" s="81"/>
      <c r="AB49" s="81"/>
      <c r="AC49" s="81"/>
      <c r="AD49" s="81"/>
      <c r="AE49" s="81"/>
      <c r="AF49" s="81"/>
      <c r="AG49" s="81"/>
      <c r="AH49" s="81"/>
      <c r="AI49" s="81"/>
      <c r="AJ49" s="81"/>
      <c r="AK49" s="81"/>
      <c r="AL49" s="81"/>
      <c r="AM49" s="81"/>
      <c r="AN49" s="81"/>
      <c r="AO49" s="81"/>
    </row>
    <row r="50" spans="1:70">
      <c r="A50" s="81"/>
      <c r="B50" s="81"/>
      <c r="C50" s="201"/>
      <c r="D50" s="201"/>
      <c r="E50" s="192"/>
      <c r="F50" s="192"/>
      <c r="G50" s="192"/>
      <c r="H50" s="202"/>
      <c r="I50" s="202"/>
      <c r="J50" s="202"/>
      <c r="K50" s="192"/>
      <c r="L50" s="192"/>
      <c r="M50" s="192"/>
      <c r="N50" s="192"/>
      <c r="O50" s="202"/>
      <c r="P50" s="202"/>
      <c r="Q50" s="202"/>
      <c r="R50" s="192"/>
      <c r="S50" s="81"/>
      <c r="T50" s="81"/>
      <c r="U50" s="81"/>
      <c r="V50" s="81"/>
      <c r="W50" s="203"/>
      <c r="X50" s="81"/>
      <c r="Y50" s="81"/>
      <c r="Z50" s="81"/>
      <c r="AA50" s="81"/>
      <c r="AB50" s="81"/>
      <c r="AC50" s="81"/>
      <c r="AD50" s="81"/>
      <c r="AE50" s="81"/>
      <c r="AF50" s="81"/>
      <c r="AG50" s="81"/>
      <c r="AH50" s="81"/>
      <c r="AI50" s="81"/>
      <c r="AJ50" s="81"/>
      <c r="AK50" s="81"/>
      <c r="AL50" s="81"/>
      <c r="AM50" s="81"/>
      <c r="AN50" s="81"/>
      <c r="AO50" s="81"/>
    </row>
    <row r="51" spans="1:70">
      <c r="A51" s="81"/>
      <c r="B51" s="81"/>
      <c r="C51" s="201"/>
      <c r="D51" s="201"/>
      <c r="E51" s="192"/>
      <c r="F51" s="192"/>
      <c r="G51" s="192"/>
      <c r="H51" s="160"/>
      <c r="I51" s="160"/>
      <c r="J51" s="160"/>
      <c r="K51" s="192"/>
      <c r="L51" s="192"/>
      <c r="M51" s="192"/>
      <c r="N51" s="192"/>
      <c r="O51" s="160"/>
      <c r="P51" s="160"/>
      <c r="Q51" s="160"/>
      <c r="R51" s="192"/>
      <c r="S51" s="81"/>
      <c r="T51" s="81"/>
      <c r="U51" s="81"/>
      <c r="V51" s="81"/>
      <c r="W51" s="203"/>
      <c r="X51" s="81"/>
      <c r="Y51" s="81"/>
      <c r="Z51" s="81"/>
      <c r="AA51" s="81"/>
      <c r="AB51" s="81"/>
      <c r="AC51" s="81"/>
      <c r="AD51" s="81"/>
      <c r="AE51" s="81"/>
      <c r="AF51" s="81"/>
      <c r="AG51" s="81"/>
      <c r="AH51" s="81"/>
      <c r="AI51" s="81"/>
      <c r="AJ51" s="81"/>
      <c r="AK51" s="81"/>
      <c r="AL51" s="81"/>
      <c r="AM51" s="81"/>
      <c r="AN51" s="81"/>
      <c r="AO51" s="81"/>
    </row>
    <row r="52" spans="1:70">
      <c r="A52" s="81"/>
      <c r="B52" s="81"/>
      <c r="C52" s="201"/>
      <c r="D52" s="201"/>
      <c r="E52" s="192"/>
      <c r="F52" s="192"/>
      <c r="G52" s="192"/>
      <c r="H52" s="160"/>
      <c r="I52" s="160"/>
      <c r="J52" s="160"/>
      <c r="K52" s="192"/>
      <c r="L52" s="192"/>
      <c r="M52" s="192"/>
      <c r="N52" s="192"/>
      <c r="O52" s="160"/>
      <c r="P52" s="160"/>
      <c r="Q52" s="160"/>
      <c r="R52" s="192"/>
      <c r="S52" s="81"/>
      <c r="T52" s="81"/>
      <c r="U52" s="81"/>
      <c r="V52" s="81"/>
      <c r="W52" s="203"/>
      <c r="X52" s="81"/>
      <c r="Y52" s="81"/>
      <c r="Z52" s="81"/>
      <c r="AA52" s="81"/>
      <c r="AB52" s="81"/>
      <c r="AC52" s="81"/>
      <c r="AD52" s="81"/>
      <c r="AE52" s="81"/>
      <c r="AF52" s="81"/>
      <c r="AG52" s="81"/>
      <c r="AH52" s="81"/>
      <c r="AI52" s="81"/>
      <c r="AJ52" s="81"/>
      <c r="AK52" s="81"/>
      <c r="AL52" s="81"/>
      <c r="AM52" s="81"/>
      <c r="AN52" s="81"/>
      <c r="AO52" s="81"/>
    </row>
    <row r="53" spans="1:70" s="254" customFormat="1">
      <c r="A53" s="189"/>
      <c r="B53" s="253"/>
      <c r="C53" s="253"/>
      <c r="G53" s="188"/>
      <c r="H53" s="188"/>
      <c r="I53" s="188"/>
      <c r="N53" s="188"/>
      <c r="O53" s="188"/>
      <c r="P53" s="188"/>
      <c r="R53" s="189"/>
      <c r="S53" s="189"/>
      <c r="T53" s="189"/>
      <c r="U53" s="189"/>
      <c r="V53" s="256"/>
      <c r="W53" s="189"/>
      <c r="X53" s="189"/>
      <c r="Y53" s="189"/>
      <c r="Z53" s="189"/>
      <c r="AA53" s="189"/>
      <c r="AB53" s="189"/>
      <c r="AC53" s="189"/>
      <c r="AD53" s="189"/>
      <c r="AE53" s="189"/>
      <c r="AF53" s="189"/>
      <c r="AG53" s="189"/>
      <c r="AH53" s="189"/>
      <c r="AI53" s="189"/>
      <c r="AJ53" s="189"/>
      <c r="AK53" s="189"/>
      <c r="AL53" s="189"/>
      <c r="AM53" s="189"/>
      <c r="AN53" s="189"/>
      <c r="AO53" s="189"/>
      <c r="AP53" s="189"/>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0"/>
    </row>
    <row r="54" spans="1:70" s="254" customFormat="1">
      <c r="A54" s="189"/>
      <c r="B54" s="253"/>
      <c r="C54" s="253"/>
      <c r="G54" s="188"/>
      <c r="H54" s="188"/>
      <c r="I54" s="188"/>
      <c r="N54" s="188"/>
      <c r="O54" s="188"/>
      <c r="P54" s="188"/>
      <c r="R54" s="189"/>
      <c r="S54" s="189"/>
      <c r="T54" s="189"/>
      <c r="U54" s="189"/>
      <c r="V54" s="256"/>
      <c r="W54" s="189"/>
      <c r="X54" s="189"/>
      <c r="Y54" s="189"/>
      <c r="Z54" s="189"/>
      <c r="AA54" s="189"/>
      <c r="AB54" s="189"/>
      <c r="AC54" s="189"/>
      <c r="AD54" s="189"/>
      <c r="AE54" s="189"/>
      <c r="AF54" s="189"/>
      <c r="AG54" s="189"/>
      <c r="AH54" s="189"/>
      <c r="AI54" s="189"/>
      <c r="AJ54" s="189"/>
      <c r="AK54" s="189"/>
      <c r="AL54" s="189"/>
      <c r="AM54" s="189"/>
      <c r="AN54" s="189"/>
      <c r="AO54" s="189"/>
      <c r="AP54" s="189"/>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row>
    <row r="55" spans="1:70" s="254" customFormat="1">
      <c r="A55" s="189"/>
      <c r="B55" s="253"/>
      <c r="C55" s="253"/>
      <c r="G55" s="188"/>
      <c r="H55" s="188"/>
      <c r="I55" s="188"/>
      <c r="N55" s="188"/>
      <c r="O55" s="188"/>
      <c r="P55" s="188"/>
      <c r="R55" s="189"/>
      <c r="S55" s="189"/>
      <c r="T55" s="189"/>
      <c r="U55" s="189"/>
      <c r="V55" s="256"/>
      <c r="W55" s="189"/>
      <c r="X55" s="189"/>
      <c r="Y55" s="189"/>
      <c r="Z55" s="189"/>
      <c r="AA55" s="189"/>
      <c r="AB55" s="189"/>
      <c r="AC55" s="189"/>
      <c r="AD55" s="189"/>
      <c r="AE55" s="189"/>
      <c r="AF55" s="189"/>
      <c r="AG55" s="189"/>
      <c r="AH55" s="189"/>
      <c r="AI55" s="189"/>
      <c r="AJ55" s="189"/>
      <c r="AK55" s="189"/>
      <c r="AL55" s="189"/>
      <c r="AM55" s="189"/>
      <c r="AN55" s="189"/>
      <c r="AO55" s="189"/>
      <c r="AP55" s="189"/>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0"/>
    </row>
    <row r="56" spans="1:70" s="254" customFormat="1">
      <c r="A56" s="189"/>
      <c r="B56" s="253"/>
      <c r="C56" s="253"/>
      <c r="G56" s="188"/>
      <c r="H56" s="188"/>
      <c r="I56" s="188"/>
      <c r="N56" s="188"/>
      <c r="O56" s="188"/>
      <c r="P56" s="188"/>
      <c r="R56" s="189"/>
      <c r="S56" s="189"/>
      <c r="T56" s="189"/>
      <c r="U56" s="189"/>
      <c r="V56" s="256"/>
      <c r="W56" s="189"/>
      <c r="X56" s="189"/>
      <c r="Y56" s="189"/>
      <c r="Z56" s="189"/>
      <c r="AA56" s="189"/>
      <c r="AB56" s="189"/>
      <c r="AC56" s="189"/>
      <c r="AD56" s="189"/>
      <c r="AE56" s="189"/>
      <c r="AF56" s="189"/>
      <c r="AG56" s="189"/>
      <c r="AH56" s="189"/>
      <c r="AI56" s="189"/>
      <c r="AJ56" s="189"/>
      <c r="AK56" s="189"/>
      <c r="AL56" s="189"/>
      <c r="AM56" s="189"/>
      <c r="AN56" s="189"/>
      <c r="AO56" s="189"/>
      <c r="AP56" s="189"/>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0"/>
      <c r="BQ56" s="250"/>
      <c r="BR56" s="250"/>
    </row>
    <row r="57" spans="1:70" s="254" customFormat="1">
      <c r="A57" s="189"/>
      <c r="B57" s="253"/>
      <c r="C57" s="253"/>
      <c r="G57" s="188"/>
      <c r="H57" s="188"/>
      <c r="I57" s="188"/>
      <c r="N57" s="188"/>
      <c r="O57" s="188"/>
      <c r="P57" s="188"/>
      <c r="R57" s="189"/>
      <c r="S57" s="189"/>
      <c r="T57" s="189"/>
      <c r="U57" s="189"/>
      <c r="V57" s="256"/>
      <c r="W57" s="189"/>
      <c r="X57" s="189"/>
      <c r="Y57" s="189"/>
      <c r="Z57" s="189"/>
      <c r="AA57" s="189"/>
      <c r="AB57" s="189"/>
      <c r="AC57" s="189"/>
      <c r="AD57" s="189"/>
      <c r="AE57" s="189"/>
      <c r="AF57" s="189"/>
      <c r="AG57" s="189"/>
      <c r="AH57" s="189"/>
      <c r="AI57" s="189"/>
      <c r="AJ57" s="189"/>
      <c r="AK57" s="189"/>
      <c r="AL57" s="189"/>
      <c r="AM57" s="189"/>
      <c r="AN57" s="189"/>
      <c r="AO57" s="189"/>
      <c r="AP57" s="189"/>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row>
    <row r="58" spans="1:70" s="254" customFormat="1">
      <c r="A58" s="189"/>
      <c r="B58" s="253"/>
      <c r="C58" s="253"/>
      <c r="G58" s="188"/>
      <c r="H58" s="188"/>
      <c r="I58" s="188"/>
      <c r="N58" s="188"/>
      <c r="O58" s="188"/>
      <c r="P58" s="188"/>
      <c r="R58" s="189"/>
      <c r="S58" s="189"/>
      <c r="T58" s="189"/>
      <c r="U58" s="189"/>
      <c r="V58" s="256"/>
      <c r="W58" s="189"/>
      <c r="X58" s="189"/>
      <c r="Y58" s="189"/>
      <c r="Z58" s="189"/>
      <c r="AA58" s="189"/>
      <c r="AB58" s="189"/>
      <c r="AC58" s="189"/>
      <c r="AD58" s="189"/>
      <c r="AE58" s="189"/>
      <c r="AF58" s="189"/>
      <c r="AG58" s="189"/>
      <c r="AH58" s="189"/>
      <c r="AI58" s="189"/>
      <c r="AJ58" s="189"/>
      <c r="AK58" s="189"/>
      <c r="AL58" s="189"/>
      <c r="AM58" s="189"/>
      <c r="AN58" s="189"/>
      <c r="AO58" s="189"/>
      <c r="AP58" s="189"/>
      <c r="AQ58" s="250"/>
      <c r="AR58" s="250"/>
      <c r="AS58" s="250"/>
      <c r="AT58" s="250"/>
      <c r="AU58" s="250"/>
      <c r="AV58" s="250"/>
      <c r="AW58" s="250"/>
      <c r="AX58" s="250"/>
      <c r="AY58" s="250"/>
      <c r="AZ58" s="250"/>
      <c r="BA58" s="250"/>
      <c r="BB58" s="250"/>
      <c r="BC58" s="250"/>
      <c r="BD58" s="250"/>
      <c r="BE58" s="250"/>
      <c r="BF58" s="250"/>
      <c r="BG58" s="250"/>
      <c r="BH58" s="250"/>
      <c r="BI58" s="250"/>
      <c r="BJ58" s="250"/>
      <c r="BK58" s="250"/>
      <c r="BL58" s="250"/>
      <c r="BM58" s="250"/>
      <c r="BN58" s="250"/>
      <c r="BO58" s="250"/>
      <c r="BP58" s="250"/>
      <c r="BQ58" s="250"/>
      <c r="BR58" s="250"/>
    </row>
    <row r="59" spans="1:70" s="254" customFormat="1">
      <c r="A59" s="189"/>
      <c r="B59" s="253"/>
      <c r="C59" s="253"/>
      <c r="G59" s="188"/>
      <c r="H59" s="188"/>
      <c r="I59" s="188"/>
      <c r="N59" s="188"/>
      <c r="O59" s="188"/>
      <c r="P59" s="188"/>
      <c r="R59" s="189"/>
      <c r="S59" s="189"/>
      <c r="T59" s="189"/>
      <c r="U59" s="189"/>
      <c r="V59" s="256"/>
      <c r="W59" s="189"/>
      <c r="X59" s="189"/>
      <c r="Y59" s="189"/>
      <c r="Z59" s="189"/>
      <c r="AA59" s="189"/>
      <c r="AB59" s="189"/>
      <c r="AC59" s="189"/>
      <c r="AD59" s="189"/>
      <c r="AE59" s="189"/>
      <c r="AF59" s="189"/>
      <c r="AG59" s="189"/>
      <c r="AH59" s="189"/>
      <c r="AI59" s="189"/>
      <c r="AJ59" s="189"/>
      <c r="AK59" s="189"/>
      <c r="AL59" s="189"/>
      <c r="AM59" s="189"/>
      <c r="AN59" s="189"/>
      <c r="AO59" s="189"/>
      <c r="AP59" s="189"/>
      <c r="AQ59" s="250"/>
      <c r="AR59" s="250"/>
      <c r="AS59" s="250"/>
      <c r="AT59" s="250"/>
      <c r="AU59" s="250"/>
      <c r="AV59" s="250"/>
      <c r="AW59" s="250"/>
      <c r="AX59" s="250"/>
      <c r="AY59" s="250"/>
      <c r="AZ59" s="250"/>
      <c r="BA59" s="250"/>
      <c r="BB59" s="250"/>
      <c r="BC59" s="250"/>
      <c r="BD59" s="250"/>
      <c r="BE59" s="250"/>
      <c r="BF59" s="250"/>
      <c r="BG59" s="250"/>
      <c r="BH59" s="250"/>
      <c r="BI59" s="250"/>
      <c r="BJ59" s="250"/>
      <c r="BK59" s="250"/>
      <c r="BL59" s="250"/>
      <c r="BM59" s="250"/>
      <c r="BN59" s="250"/>
      <c r="BO59" s="250"/>
      <c r="BP59" s="250"/>
      <c r="BQ59" s="250"/>
      <c r="BR59" s="250"/>
    </row>
    <row r="60" spans="1:70" s="254" customFormat="1">
      <c r="A60" s="189"/>
      <c r="B60" s="253"/>
      <c r="C60" s="253"/>
      <c r="G60" s="188"/>
      <c r="H60" s="188"/>
      <c r="I60" s="188"/>
      <c r="N60" s="188"/>
      <c r="O60" s="188"/>
      <c r="P60" s="188"/>
      <c r="R60" s="189"/>
      <c r="S60" s="189"/>
      <c r="T60" s="189"/>
      <c r="U60" s="189"/>
      <c r="V60" s="256"/>
      <c r="W60" s="189"/>
      <c r="X60" s="189"/>
      <c r="Y60" s="189"/>
      <c r="Z60" s="189"/>
      <c r="AA60" s="189"/>
      <c r="AB60" s="189"/>
      <c r="AC60" s="189"/>
      <c r="AD60" s="189"/>
      <c r="AE60" s="189"/>
      <c r="AF60" s="189"/>
      <c r="AG60" s="189"/>
      <c r="AH60" s="189"/>
      <c r="AI60" s="189"/>
      <c r="AJ60" s="189"/>
      <c r="AK60" s="189"/>
      <c r="AL60" s="189"/>
      <c r="AM60" s="189"/>
      <c r="AN60" s="189"/>
      <c r="AO60" s="189"/>
      <c r="AP60" s="189"/>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0"/>
      <c r="BR60" s="250"/>
    </row>
    <row r="61" spans="1:70" s="254" customFormat="1">
      <c r="A61" s="189"/>
      <c r="B61" s="253"/>
      <c r="C61" s="253"/>
      <c r="G61" s="188"/>
      <c r="H61" s="188"/>
      <c r="I61" s="188"/>
      <c r="N61" s="188"/>
      <c r="O61" s="188"/>
      <c r="P61" s="188"/>
      <c r="R61" s="189"/>
      <c r="S61" s="189"/>
      <c r="T61" s="189"/>
      <c r="U61" s="189"/>
      <c r="V61" s="256"/>
      <c r="W61" s="189"/>
      <c r="X61" s="189"/>
      <c r="Y61" s="189"/>
      <c r="Z61" s="189"/>
      <c r="AA61" s="189"/>
      <c r="AB61" s="189"/>
      <c r="AC61" s="189"/>
      <c r="AD61" s="189"/>
      <c r="AE61" s="189"/>
      <c r="AF61" s="189"/>
      <c r="AG61" s="189"/>
      <c r="AH61" s="189"/>
      <c r="AI61" s="189"/>
      <c r="AJ61" s="189"/>
      <c r="AK61" s="189"/>
      <c r="AL61" s="189"/>
      <c r="AM61" s="189"/>
      <c r="AN61" s="189"/>
      <c r="AO61" s="189"/>
      <c r="AP61" s="189"/>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0"/>
      <c r="BR61" s="250"/>
    </row>
    <row r="62" spans="1:70" s="254" customFormat="1">
      <c r="A62" s="189"/>
      <c r="B62" s="253"/>
      <c r="C62" s="253"/>
      <c r="G62" s="255"/>
      <c r="H62" s="255"/>
      <c r="I62" s="255"/>
      <c r="N62" s="255"/>
      <c r="O62" s="255"/>
      <c r="P62" s="255"/>
      <c r="R62" s="189"/>
      <c r="S62" s="189"/>
      <c r="T62" s="189"/>
      <c r="U62" s="189"/>
      <c r="V62" s="256"/>
      <c r="W62" s="189"/>
      <c r="X62" s="189"/>
      <c r="Y62" s="189"/>
      <c r="Z62" s="189"/>
      <c r="AA62" s="189"/>
      <c r="AB62" s="189"/>
      <c r="AC62" s="189"/>
      <c r="AD62" s="189"/>
      <c r="AE62" s="189"/>
      <c r="AF62" s="189"/>
      <c r="AG62" s="189"/>
      <c r="AH62" s="189"/>
      <c r="AI62" s="189"/>
      <c r="AJ62" s="189"/>
      <c r="AK62" s="189"/>
      <c r="AL62" s="189"/>
      <c r="AM62" s="189"/>
      <c r="AN62" s="189"/>
      <c r="AO62" s="189"/>
      <c r="AP62" s="189"/>
      <c r="AQ62" s="250"/>
      <c r="AR62" s="250"/>
      <c r="AS62" s="250"/>
      <c r="AT62" s="250"/>
      <c r="AU62" s="250"/>
      <c r="AV62" s="250"/>
      <c r="AW62" s="250"/>
      <c r="AX62" s="250"/>
      <c r="AY62" s="250"/>
      <c r="AZ62" s="250"/>
      <c r="BA62" s="250"/>
      <c r="BB62" s="250"/>
      <c r="BC62" s="250"/>
      <c r="BD62" s="250"/>
      <c r="BE62" s="250"/>
      <c r="BF62" s="250"/>
      <c r="BG62" s="250"/>
      <c r="BH62" s="250"/>
      <c r="BI62" s="250"/>
      <c r="BJ62" s="250"/>
      <c r="BK62" s="250"/>
      <c r="BL62" s="250"/>
      <c r="BM62" s="250"/>
      <c r="BN62" s="250"/>
      <c r="BO62" s="250"/>
      <c r="BP62" s="250"/>
      <c r="BQ62" s="250"/>
      <c r="BR62" s="250"/>
    </row>
    <row r="63" spans="1:70" s="254" customFormat="1">
      <c r="A63" s="189"/>
      <c r="B63" s="253"/>
      <c r="C63" s="253"/>
      <c r="G63" s="255"/>
      <c r="H63" s="255"/>
      <c r="I63" s="255"/>
      <c r="N63" s="255"/>
      <c r="O63" s="255"/>
      <c r="P63" s="255"/>
      <c r="R63" s="189"/>
      <c r="S63" s="189"/>
      <c r="T63" s="189"/>
      <c r="U63" s="189"/>
      <c r="V63" s="256"/>
      <c r="W63" s="189"/>
      <c r="X63" s="189"/>
      <c r="Y63" s="189"/>
      <c r="Z63" s="189"/>
      <c r="AA63" s="189"/>
      <c r="AB63" s="189"/>
      <c r="AC63" s="189"/>
      <c r="AD63" s="189"/>
      <c r="AE63" s="189"/>
      <c r="AF63" s="189"/>
      <c r="AG63" s="189"/>
      <c r="AH63" s="189"/>
      <c r="AI63" s="189"/>
      <c r="AJ63" s="189"/>
      <c r="AK63" s="189"/>
      <c r="AL63" s="189"/>
      <c r="AM63" s="189"/>
      <c r="AN63" s="189"/>
      <c r="AO63" s="189"/>
      <c r="AP63" s="189"/>
      <c r="AQ63" s="250"/>
      <c r="AR63" s="250"/>
      <c r="AS63" s="250"/>
      <c r="AT63" s="250"/>
      <c r="AU63" s="250"/>
      <c r="AV63" s="250"/>
      <c r="AW63" s="250"/>
      <c r="AX63" s="250"/>
      <c r="AY63" s="250"/>
      <c r="AZ63" s="250"/>
      <c r="BA63" s="250"/>
      <c r="BB63" s="250"/>
      <c r="BC63" s="250"/>
      <c r="BD63" s="250"/>
      <c r="BE63" s="250"/>
      <c r="BF63" s="250"/>
      <c r="BG63" s="250"/>
      <c r="BH63" s="250"/>
      <c r="BI63" s="250"/>
      <c r="BJ63" s="250"/>
      <c r="BK63" s="250"/>
      <c r="BL63" s="250"/>
      <c r="BM63" s="250"/>
      <c r="BN63" s="250"/>
      <c r="BO63" s="250"/>
      <c r="BP63" s="250"/>
      <c r="BQ63" s="250"/>
      <c r="BR63" s="250"/>
    </row>
    <row r="64" spans="1:70" s="254" customFormat="1">
      <c r="A64" s="189"/>
      <c r="B64" s="253"/>
      <c r="C64" s="253"/>
      <c r="G64" s="255"/>
      <c r="H64" s="255"/>
      <c r="I64" s="255"/>
      <c r="N64" s="255"/>
      <c r="O64" s="255"/>
      <c r="P64" s="255"/>
      <c r="R64" s="189"/>
      <c r="S64" s="189"/>
      <c r="T64" s="189"/>
      <c r="U64" s="189"/>
      <c r="V64" s="256"/>
      <c r="W64" s="189"/>
      <c r="X64" s="189"/>
      <c r="Y64" s="189"/>
      <c r="Z64" s="189"/>
      <c r="AA64" s="189"/>
      <c r="AB64" s="189"/>
      <c r="AC64" s="189"/>
      <c r="AD64" s="189"/>
      <c r="AE64" s="189"/>
      <c r="AF64" s="189"/>
      <c r="AG64" s="189"/>
      <c r="AH64" s="189"/>
      <c r="AI64" s="189"/>
      <c r="AJ64" s="189"/>
      <c r="AK64" s="189"/>
      <c r="AL64" s="189"/>
      <c r="AM64" s="189"/>
      <c r="AN64" s="189"/>
      <c r="AO64" s="189"/>
      <c r="AP64" s="189"/>
      <c r="AQ64" s="250"/>
      <c r="AR64" s="250"/>
      <c r="AS64" s="250"/>
      <c r="AT64" s="250"/>
      <c r="AU64" s="250"/>
      <c r="AV64" s="250"/>
      <c r="AW64" s="250"/>
      <c r="AX64" s="250"/>
      <c r="AY64" s="250"/>
      <c r="AZ64" s="250"/>
      <c r="BA64" s="250"/>
      <c r="BB64" s="250"/>
      <c r="BC64" s="250"/>
      <c r="BD64" s="250"/>
      <c r="BE64" s="250"/>
      <c r="BF64" s="250"/>
      <c r="BG64" s="250"/>
      <c r="BH64" s="250"/>
      <c r="BI64" s="250"/>
      <c r="BJ64" s="250"/>
      <c r="BK64" s="250"/>
      <c r="BL64" s="250"/>
      <c r="BM64" s="250"/>
      <c r="BN64" s="250"/>
      <c r="BO64" s="250"/>
      <c r="BP64" s="250"/>
      <c r="BQ64" s="250"/>
      <c r="BR64" s="250"/>
    </row>
    <row r="65" spans="1:70" s="254" customFormat="1">
      <c r="A65" s="189"/>
      <c r="B65" s="253"/>
      <c r="C65" s="253"/>
      <c r="G65" s="255"/>
      <c r="H65" s="255"/>
      <c r="I65" s="255"/>
      <c r="N65" s="255"/>
      <c r="O65" s="255"/>
      <c r="P65" s="255"/>
      <c r="R65" s="189"/>
      <c r="S65" s="189"/>
      <c r="T65" s="189"/>
      <c r="U65" s="189"/>
      <c r="V65" s="256"/>
      <c r="W65" s="189"/>
      <c r="X65" s="189"/>
      <c r="Y65" s="189"/>
      <c r="Z65" s="189"/>
      <c r="AA65" s="189"/>
      <c r="AB65" s="189"/>
      <c r="AC65" s="189"/>
      <c r="AD65" s="189"/>
      <c r="AE65" s="189"/>
      <c r="AF65" s="189"/>
      <c r="AG65" s="189"/>
      <c r="AH65" s="189"/>
      <c r="AI65" s="189"/>
      <c r="AJ65" s="189"/>
      <c r="AK65" s="189"/>
      <c r="AL65" s="189"/>
      <c r="AM65" s="189"/>
      <c r="AN65" s="189"/>
      <c r="AO65" s="189"/>
      <c r="AP65" s="189"/>
      <c r="AQ65" s="250"/>
      <c r="AR65" s="250"/>
      <c r="AS65" s="250"/>
      <c r="AT65" s="250"/>
      <c r="AU65" s="250"/>
      <c r="AV65" s="250"/>
      <c r="AW65" s="250"/>
      <c r="AX65" s="250"/>
      <c r="AY65" s="250"/>
      <c r="AZ65" s="250"/>
      <c r="BA65" s="250"/>
      <c r="BB65" s="250"/>
      <c r="BC65" s="250"/>
      <c r="BD65" s="250"/>
      <c r="BE65" s="250"/>
      <c r="BF65" s="250"/>
      <c r="BG65" s="250"/>
      <c r="BH65" s="250"/>
      <c r="BI65" s="250"/>
      <c r="BJ65" s="250"/>
      <c r="BK65" s="250"/>
      <c r="BL65" s="250"/>
      <c r="BM65" s="250"/>
      <c r="BN65" s="250"/>
      <c r="BO65" s="250"/>
      <c r="BP65" s="250"/>
      <c r="BQ65" s="250"/>
      <c r="BR65" s="250"/>
    </row>
    <row r="66" spans="1:70" s="254" customFormat="1">
      <c r="A66" s="189"/>
      <c r="B66" s="253"/>
      <c r="C66" s="253"/>
      <c r="G66" s="255"/>
      <c r="H66" s="255"/>
      <c r="I66" s="255"/>
      <c r="N66" s="255"/>
      <c r="O66" s="255"/>
      <c r="P66" s="255"/>
      <c r="R66" s="189"/>
      <c r="S66" s="189"/>
      <c r="T66" s="189"/>
      <c r="U66" s="189"/>
      <c r="V66" s="256"/>
      <c r="W66" s="189"/>
      <c r="X66" s="189"/>
      <c r="Y66" s="189"/>
      <c r="Z66" s="189"/>
      <c r="AA66" s="189"/>
      <c r="AB66" s="189"/>
      <c r="AC66" s="189"/>
      <c r="AD66" s="189"/>
      <c r="AE66" s="189"/>
      <c r="AF66" s="189"/>
      <c r="AG66" s="189"/>
      <c r="AH66" s="189"/>
      <c r="AI66" s="189"/>
      <c r="AJ66" s="189"/>
      <c r="AK66" s="189"/>
      <c r="AL66" s="189"/>
      <c r="AM66" s="189"/>
      <c r="AN66" s="189"/>
      <c r="AO66" s="189"/>
      <c r="AP66" s="189"/>
      <c r="AQ66" s="250"/>
      <c r="AR66" s="250"/>
      <c r="AS66" s="250"/>
      <c r="AT66" s="250"/>
      <c r="AU66" s="250"/>
      <c r="AV66" s="250"/>
      <c r="AW66" s="250"/>
      <c r="AX66" s="250"/>
      <c r="AY66" s="250"/>
      <c r="AZ66" s="250"/>
      <c r="BA66" s="250"/>
      <c r="BB66" s="250"/>
      <c r="BC66" s="250"/>
      <c r="BD66" s="250"/>
      <c r="BE66" s="250"/>
      <c r="BF66" s="250"/>
      <c r="BG66" s="250"/>
      <c r="BH66" s="250"/>
      <c r="BI66" s="250"/>
      <c r="BJ66" s="250"/>
      <c r="BK66" s="250"/>
      <c r="BL66" s="250"/>
      <c r="BM66" s="250"/>
      <c r="BN66" s="250"/>
      <c r="BO66" s="250"/>
      <c r="BP66" s="250"/>
      <c r="BQ66" s="250"/>
      <c r="BR66" s="250"/>
    </row>
    <row r="67" spans="1:70" s="254" customFormat="1">
      <c r="A67" s="189"/>
      <c r="B67" s="253"/>
      <c r="C67" s="253"/>
      <c r="G67" s="255"/>
      <c r="H67" s="255"/>
      <c r="I67" s="255"/>
      <c r="N67" s="255"/>
      <c r="O67" s="255"/>
      <c r="P67" s="255"/>
      <c r="R67" s="189"/>
      <c r="S67" s="189"/>
      <c r="T67" s="189"/>
      <c r="U67" s="189"/>
      <c r="V67" s="256"/>
      <c r="W67" s="189"/>
      <c r="X67" s="189"/>
      <c r="Y67" s="189"/>
      <c r="Z67" s="189"/>
      <c r="AA67" s="189"/>
      <c r="AB67" s="189"/>
      <c r="AC67" s="189"/>
      <c r="AD67" s="189"/>
      <c r="AE67" s="189"/>
      <c r="AF67" s="189"/>
      <c r="AG67" s="189"/>
      <c r="AH67" s="189"/>
      <c r="AI67" s="189"/>
      <c r="AJ67" s="189"/>
      <c r="AK67" s="189"/>
      <c r="AL67" s="189"/>
      <c r="AM67" s="189"/>
      <c r="AN67" s="189"/>
      <c r="AO67" s="189"/>
      <c r="AP67" s="189"/>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0"/>
      <c r="BQ67" s="250"/>
      <c r="BR67" s="250"/>
    </row>
  </sheetData>
  <sortState ref="A32:AN38">
    <sortCondition descending="1" ref="AL32:AL38"/>
  </sortState>
  <phoneticPr fontId="3"/>
  <conditionalFormatting sqref="AV3:AV28 BB3:BB28">
    <cfRule type="cellIs" dxfId="1" priority="6" stopIfTrue="1" operator="lessThanOrEqual">
      <formula>12</formula>
    </cfRule>
  </conditionalFormatting>
  <conditionalFormatting sqref="BH3:BH32 BN3:BN28 BJ3:BJ30 BP3:BP27">
    <cfRule type="cellIs" dxfId="0" priority="5" stopIfTrue="1" operator="lessThanOrEqual">
      <formula>11</formula>
    </cfRule>
  </conditionalFormatting>
  <pageMargins left="0.78700000000000003" right="0.78700000000000003" top="0.98399999999999999" bottom="0.98399999999999999" header="0.51200000000000001" footer="0.51200000000000001"/>
  <pageSetup paperSize="9" scale="77" orientation="landscape" horizontalDpi="4294967293" r:id="rId1"/>
  <headerFooter alignWithMargins="0"/>
  <legacyDrawing r:id="rId2"/>
</worksheet>
</file>

<file path=xl/worksheets/sheet16.xml><?xml version="1.0" encoding="utf-8"?>
<worksheet xmlns="http://schemas.openxmlformats.org/spreadsheetml/2006/main" xmlns:r="http://schemas.openxmlformats.org/officeDocument/2006/relationships">
  <sheetPr>
    <pageSetUpPr fitToPage="1"/>
  </sheetPr>
  <dimension ref="A1:BQ67"/>
  <sheetViews>
    <sheetView view="pageBreakPreview" zoomScale="115" zoomScaleNormal="100" zoomScaleSheetLayoutView="115" workbookViewId="0">
      <pane xSplit="2" ySplit="1" topLeftCell="C2" activePane="bottomRight" state="frozen"/>
      <selection pane="topRight" activeCell="C1" sqref="C1"/>
      <selection pane="bottomLeft" activeCell="A2" sqref="A2"/>
      <selection pane="bottomRight" activeCell="G33" sqref="G33"/>
    </sheetView>
  </sheetViews>
  <sheetFormatPr defaultRowHeight="13.5"/>
  <cols>
    <col min="1" max="1" width="3.75" style="81" bestFit="1" customWidth="1"/>
    <col min="2" max="2" width="15" style="81" bestFit="1" customWidth="1"/>
    <col min="3" max="3" width="6.625" style="201" customWidth="1"/>
    <col min="4" max="4" width="5.75" style="201" customWidth="1"/>
    <col min="5" max="6" width="8.25" style="192" customWidth="1"/>
    <col min="7" max="7" width="7.875" style="192" customWidth="1"/>
    <col min="8" max="8" width="10" style="202" customWidth="1"/>
    <col min="9" max="9" width="7.5" style="202" customWidth="1"/>
    <col min="10" max="10" width="7.5" style="202" hidden="1" customWidth="1"/>
    <col min="11" max="13" width="7.25" style="192" hidden="1" customWidth="1"/>
    <col min="14" max="14" width="8.125" style="192" hidden="1" customWidth="1"/>
    <col min="15" max="15" width="10" style="202" hidden="1" customWidth="1"/>
    <col min="16" max="16" width="7.5" style="202" hidden="1" customWidth="1"/>
    <col min="17" max="17" width="8.125" style="202" hidden="1" customWidth="1"/>
    <col min="18" max="18" width="7.25" style="192" hidden="1" customWidth="1"/>
    <col min="19" max="22" width="7.125" style="81" hidden="1" customWidth="1"/>
    <col min="23" max="23" width="7.125" style="203" customWidth="1"/>
    <col min="24" max="26" width="7.125" style="81" customWidth="1"/>
    <col min="27" max="37" width="7.125" style="81" hidden="1" customWidth="1"/>
    <col min="38" max="38" width="6.75" style="81" hidden="1" customWidth="1"/>
    <col min="39" max="39" width="5.75" style="81" hidden="1" customWidth="1"/>
    <col min="40" max="40" width="19.25" style="81" hidden="1" customWidth="1"/>
    <col min="41" max="41" width="8.875" style="81" customWidth="1"/>
    <col min="42" max="16384" width="9" style="198"/>
  </cols>
  <sheetData>
    <row r="1" spans="1:69" s="184" customFormat="1">
      <c r="A1" s="212" t="s">
        <v>87</v>
      </c>
      <c r="B1" s="212" t="s">
        <v>88</v>
      </c>
      <c r="C1" s="213" t="s">
        <v>732</v>
      </c>
      <c r="D1" s="213" t="s">
        <v>228</v>
      </c>
      <c r="E1" s="214" t="s">
        <v>616</v>
      </c>
      <c r="F1" s="214" t="s">
        <v>617</v>
      </c>
      <c r="G1" s="214" t="s">
        <v>618</v>
      </c>
      <c r="H1" s="206" t="s">
        <v>91</v>
      </c>
      <c r="I1" s="206" t="s">
        <v>92</v>
      </c>
      <c r="J1" s="206" t="s">
        <v>239</v>
      </c>
      <c r="K1" s="214" t="s">
        <v>240</v>
      </c>
      <c r="L1" s="214" t="s">
        <v>619</v>
      </c>
      <c r="M1" s="214" t="s">
        <v>620</v>
      </c>
      <c r="N1" s="214" t="s">
        <v>621</v>
      </c>
      <c r="O1" s="206" t="s">
        <v>93</v>
      </c>
      <c r="P1" s="206" t="s">
        <v>94</v>
      </c>
      <c r="Q1" s="206" t="s">
        <v>241</v>
      </c>
      <c r="R1" s="214" t="s">
        <v>242</v>
      </c>
      <c r="S1" s="212" t="s">
        <v>650</v>
      </c>
      <c r="T1" s="212" t="s">
        <v>651</v>
      </c>
      <c r="U1" s="212" t="s">
        <v>594</v>
      </c>
      <c r="V1" s="212" t="s">
        <v>291</v>
      </c>
      <c r="W1" s="235" t="s">
        <v>565</v>
      </c>
      <c r="X1" s="236" t="s">
        <v>566</v>
      </c>
      <c r="Y1" s="236" t="s">
        <v>0</v>
      </c>
      <c r="Z1" s="236" t="s">
        <v>1</v>
      </c>
      <c r="AA1" s="212" t="s">
        <v>757</v>
      </c>
      <c r="AB1" s="212" t="s">
        <v>745</v>
      </c>
      <c r="AC1" s="212" t="s">
        <v>746</v>
      </c>
      <c r="AD1" s="212" t="s">
        <v>214</v>
      </c>
      <c r="AE1" s="212" t="s">
        <v>8</v>
      </c>
      <c r="AF1" s="236" t="s">
        <v>758</v>
      </c>
      <c r="AG1" s="236" t="s">
        <v>759</v>
      </c>
      <c r="AH1" s="212" t="s">
        <v>567</v>
      </c>
      <c r="AI1" s="212" t="s">
        <v>760</v>
      </c>
      <c r="AJ1" s="212" t="s">
        <v>3</v>
      </c>
      <c r="AK1" s="212" t="s">
        <v>11</v>
      </c>
      <c r="AL1" s="236" t="s">
        <v>12</v>
      </c>
      <c r="AM1" s="236" t="s">
        <v>98</v>
      </c>
      <c r="AN1" s="212" t="s">
        <v>105</v>
      </c>
      <c r="AO1" s="236" t="s">
        <v>190</v>
      </c>
      <c r="AP1" s="184" t="s">
        <v>289</v>
      </c>
      <c r="AV1" s="184" t="s">
        <v>288</v>
      </c>
      <c r="BA1" s="184" t="s">
        <v>654</v>
      </c>
      <c r="BB1" s="184" t="s">
        <v>653</v>
      </c>
      <c r="BC1" s="184" t="s">
        <v>656</v>
      </c>
      <c r="BD1" s="184" t="s">
        <v>286</v>
      </c>
      <c r="BJ1" s="184" t="s">
        <v>287</v>
      </c>
      <c r="BO1" s="184" t="s">
        <v>655</v>
      </c>
      <c r="BP1" s="184" t="s">
        <v>657</v>
      </c>
      <c r="BQ1" s="184" t="s">
        <v>658</v>
      </c>
    </row>
    <row r="2" spans="1:69">
      <c r="A2" s="218" t="s">
        <v>733</v>
      </c>
      <c r="B2" s="218" t="s">
        <v>126</v>
      </c>
      <c r="C2" s="219" t="s">
        <v>280</v>
      </c>
      <c r="D2" s="219">
        <v>4</v>
      </c>
      <c r="E2" s="220">
        <v>0.53472222222222221</v>
      </c>
      <c r="F2" s="220">
        <v>0.55554398148148143</v>
      </c>
      <c r="G2" s="220">
        <v>0.65425925925925921</v>
      </c>
      <c r="H2" s="208">
        <v>2.082175925925922E-2</v>
      </c>
      <c r="I2" s="208">
        <v>0</v>
      </c>
      <c r="J2" s="208">
        <v>0.119537037037037</v>
      </c>
      <c r="K2" s="220">
        <v>0.13194444444444445</v>
      </c>
      <c r="L2" s="220"/>
      <c r="M2" s="220"/>
      <c r="N2" s="220"/>
      <c r="O2" s="208">
        <v>0</v>
      </c>
      <c r="P2" s="208">
        <v>0</v>
      </c>
      <c r="Q2" s="208">
        <v>0</v>
      </c>
      <c r="R2" s="220">
        <v>0.15972222222222224</v>
      </c>
      <c r="S2" s="221">
        <v>1</v>
      </c>
      <c r="T2" s="221"/>
      <c r="U2" s="221">
        <v>5</v>
      </c>
      <c r="V2" s="221"/>
      <c r="W2" s="238">
        <v>20</v>
      </c>
      <c r="X2" s="238">
        <v>20</v>
      </c>
      <c r="Y2" s="238">
        <v>5</v>
      </c>
      <c r="Z2" s="238">
        <v>5</v>
      </c>
      <c r="AA2" s="221">
        <v>4</v>
      </c>
      <c r="AB2" s="221">
        <v>3.9</v>
      </c>
      <c r="AC2" s="221">
        <v>3.7</v>
      </c>
      <c r="AD2" s="221">
        <v>3.6</v>
      </c>
      <c r="AE2" s="221">
        <v>2</v>
      </c>
      <c r="AF2" s="238">
        <v>1</v>
      </c>
      <c r="AG2" s="238">
        <v>5</v>
      </c>
      <c r="AH2" s="221"/>
      <c r="AI2" s="221">
        <v>5</v>
      </c>
      <c r="AJ2" s="221">
        <v>5</v>
      </c>
      <c r="AK2" s="221"/>
      <c r="AL2" s="238">
        <v>83.2</v>
      </c>
      <c r="AM2" s="243">
        <v>1</v>
      </c>
      <c r="AN2" s="218"/>
      <c r="AO2" s="243">
        <v>1</v>
      </c>
      <c r="AP2" s="196"/>
      <c r="AQ2" s="196"/>
      <c r="AR2" s="196"/>
      <c r="AS2" s="196"/>
      <c r="AT2" s="196"/>
      <c r="AU2" s="197" t="e">
        <v>#DIV/0!</v>
      </c>
      <c r="AV2" s="196">
        <v>10.25</v>
      </c>
      <c r="AW2" s="196">
        <v>12.45</v>
      </c>
      <c r="AX2" s="196">
        <v>12.85</v>
      </c>
      <c r="AY2" s="196">
        <v>13</v>
      </c>
      <c r="BA2" s="199">
        <v>12.137499999999999</v>
      </c>
      <c r="BB2" s="200">
        <v>12</v>
      </c>
      <c r="BC2" s="200">
        <v>0</v>
      </c>
      <c r="BD2" s="196"/>
      <c r="BE2" s="196"/>
      <c r="BF2" s="196"/>
      <c r="BG2" s="196"/>
      <c r="BI2" s="199" t="e">
        <v>#DIV/0!</v>
      </c>
      <c r="BJ2" s="196"/>
      <c r="BK2" s="196"/>
      <c r="BL2" s="196"/>
      <c r="BM2" s="196"/>
      <c r="BN2" s="196"/>
      <c r="BO2" s="199" t="e">
        <v>#DIV/0!</v>
      </c>
      <c r="BP2" s="200">
        <v>11</v>
      </c>
      <c r="BQ2" s="200">
        <v>0</v>
      </c>
    </row>
    <row r="3" spans="1:69">
      <c r="A3" s="218" t="s">
        <v>733</v>
      </c>
      <c r="B3" s="218" t="s">
        <v>123</v>
      </c>
      <c r="C3" s="219" t="s">
        <v>661</v>
      </c>
      <c r="D3" s="219">
        <v>4</v>
      </c>
      <c r="E3" s="220">
        <v>0.53611111111111109</v>
      </c>
      <c r="F3" s="220">
        <v>0.55762731481481487</v>
      </c>
      <c r="G3" s="220">
        <v>0.65900462962962958</v>
      </c>
      <c r="H3" s="208">
        <v>2.1516203703703773E-2</v>
      </c>
      <c r="I3" s="208">
        <v>6.94444444444553E-4</v>
      </c>
      <c r="J3" s="208">
        <v>0.12289351851851849</v>
      </c>
      <c r="K3" s="220">
        <v>0.13194444444444445</v>
      </c>
      <c r="L3" s="220"/>
      <c r="M3" s="220"/>
      <c r="N3" s="220"/>
      <c r="O3" s="208">
        <v>0</v>
      </c>
      <c r="P3" s="208">
        <v>0</v>
      </c>
      <c r="Q3" s="208">
        <v>0</v>
      </c>
      <c r="R3" s="220">
        <v>0.15972222222222224</v>
      </c>
      <c r="S3" s="221">
        <v>0.8</v>
      </c>
      <c r="T3" s="221"/>
      <c r="U3" s="221">
        <v>6</v>
      </c>
      <c r="V3" s="221"/>
      <c r="W3" s="238">
        <v>19.5</v>
      </c>
      <c r="X3" s="238">
        <v>20</v>
      </c>
      <c r="Y3" s="238">
        <v>5</v>
      </c>
      <c r="Z3" s="238">
        <v>5</v>
      </c>
      <c r="AA3" s="221">
        <v>3.9</v>
      </c>
      <c r="AB3" s="221">
        <v>4</v>
      </c>
      <c r="AC3" s="221">
        <v>3.7</v>
      </c>
      <c r="AD3" s="221">
        <v>3.3</v>
      </c>
      <c r="AE3" s="221">
        <v>2</v>
      </c>
      <c r="AF3" s="238">
        <v>0.8</v>
      </c>
      <c r="AG3" s="238">
        <v>6</v>
      </c>
      <c r="AH3" s="221"/>
      <c r="AI3" s="221">
        <v>5</v>
      </c>
      <c r="AJ3" s="221">
        <v>5</v>
      </c>
      <c r="AK3" s="221"/>
      <c r="AL3" s="238">
        <v>83.2</v>
      </c>
      <c r="AM3" s="243">
        <v>1</v>
      </c>
      <c r="AN3" s="218"/>
      <c r="AO3" s="243">
        <v>2</v>
      </c>
      <c r="AP3" s="196"/>
      <c r="AQ3" s="196"/>
      <c r="AR3" s="196"/>
      <c r="AS3" s="196"/>
      <c r="AT3" s="196"/>
      <c r="AU3" s="197" t="e">
        <v>#DIV/0!</v>
      </c>
      <c r="AV3" s="196">
        <v>12.4</v>
      </c>
      <c r="AW3" s="196">
        <v>13.2</v>
      </c>
      <c r="AX3" s="196">
        <v>11.7</v>
      </c>
      <c r="AY3" s="196">
        <v>12</v>
      </c>
      <c r="BA3" s="199">
        <v>12.324999999999999</v>
      </c>
      <c r="BB3" s="200">
        <v>12</v>
      </c>
      <c r="BC3" s="200">
        <v>0</v>
      </c>
      <c r="BD3" s="196"/>
      <c r="BE3" s="196"/>
      <c r="BF3" s="196"/>
      <c r="BG3" s="196"/>
      <c r="BI3" s="199" t="e">
        <v>#DIV/0!</v>
      </c>
      <c r="BJ3" s="196"/>
      <c r="BK3" s="196"/>
      <c r="BL3" s="196"/>
      <c r="BM3" s="196"/>
      <c r="BN3" s="196"/>
      <c r="BO3" s="199" t="e">
        <v>#DIV/0!</v>
      </c>
      <c r="BP3" s="200">
        <v>11</v>
      </c>
      <c r="BQ3" s="200">
        <v>0</v>
      </c>
    </row>
    <row r="4" spans="1:69">
      <c r="A4" s="218" t="s">
        <v>733</v>
      </c>
      <c r="B4" s="218" t="s">
        <v>641</v>
      </c>
      <c r="C4" s="219" t="s">
        <v>664</v>
      </c>
      <c r="D4" s="219">
        <v>4</v>
      </c>
      <c r="E4" s="220">
        <v>0.53819444444444442</v>
      </c>
      <c r="F4" s="220">
        <v>0.56383101851851858</v>
      </c>
      <c r="G4" s="220">
        <v>0.66342592592592597</v>
      </c>
      <c r="H4" s="208">
        <v>2.5636574074074159E-2</v>
      </c>
      <c r="I4" s="208">
        <v>4.8148148148149383E-3</v>
      </c>
      <c r="J4" s="208">
        <v>0.12523148148148155</v>
      </c>
      <c r="K4" s="220">
        <v>0.13194444444444445</v>
      </c>
      <c r="L4" s="220"/>
      <c r="M4" s="220"/>
      <c r="N4" s="220"/>
      <c r="O4" s="208">
        <v>0</v>
      </c>
      <c r="P4" s="208">
        <v>0</v>
      </c>
      <c r="Q4" s="208">
        <v>0</v>
      </c>
      <c r="R4" s="220">
        <v>0.15972222222222224</v>
      </c>
      <c r="S4" s="221">
        <v>0.8</v>
      </c>
      <c r="T4" s="221"/>
      <c r="U4" s="221">
        <v>5</v>
      </c>
      <c r="V4" s="221"/>
      <c r="W4" s="238">
        <v>16.5</v>
      </c>
      <c r="X4" s="238">
        <v>20</v>
      </c>
      <c r="Y4" s="238">
        <v>5</v>
      </c>
      <c r="Z4" s="238">
        <v>5</v>
      </c>
      <c r="AA4" s="221">
        <v>3</v>
      </c>
      <c r="AB4" s="221">
        <v>3.6</v>
      </c>
      <c r="AC4" s="221">
        <v>4</v>
      </c>
      <c r="AD4" s="221">
        <v>3.4</v>
      </c>
      <c r="AE4" s="221">
        <v>2</v>
      </c>
      <c r="AF4" s="238">
        <v>0.8</v>
      </c>
      <c r="AG4" s="238">
        <v>5</v>
      </c>
      <c r="AH4" s="221"/>
      <c r="AI4" s="221">
        <v>5</v>
      </c>
      <c r="AJ4" s="221">
        <v>5</v>
      </c>
      <c r="AK4" s="221"/>
      <c r="AL4" s="238">
        <v>78.3</v>
      </c>
      <c r="AM4" s="243">
        <v>3</v>
      </c>
      <c r="AN4" s="218"/>
      <c r="AO4" s="243">
        <v>3</v>
      </c>
      <c r="AP4" s="196"/>
      <c r="AQ4" s="196"/>
      <c r="AR4" s="196"/>
      <c r="AS4" s="196"/>
      <c r="AT4" s="196"/>
      <c r="AU4" s="197" t="e">
        <v>#DIV/0!</v>
      </c>
      <c r="AV4" s="196">
        <v>11.35</v>
      </c>
      <c r="AW4" s="196">
        <v>13.2</v>
      </c>
      <c r="AX4" s="196">
        <v>12.35</v>
      </c>
      <c r="AY4" s="196">
        <v>11.45</v>
      </c>
      <c r="BA4" s="199">
        <v>12.087499999999999</v>
      </c>
      <c r="BB4" s="200">
        <v>12</v>
      </c>
      <c r="BC4" s="200">
        <v>0</v>
      </c>
      <c r="BD4" s="196"/>
      <c r="BE4" s="196"/>
      <c r="BF4" s="196"/>
      <c r="BG4" s="196"/>
      <c r="BI4" s="199" t="e">
        <v>#DIV/0!</v>
      </c>
      <c r="BJ4" s="196"/>
      <c r="BK4" s="196"/>
      <c r="BL4" s="196"/>
      <c r="BM4" s="196"/>
      <c r="BN4" s="196"/>
      <c r="BO4" s="199" t="e">
        <v>#DIV/0!</v>
      </c>
      <c r="BP4" s="200">
        <v>11</v>
      </c>
      <c r="BQ4" s="200">
        <v>0</v>
      </c>
    </row>
    <row r="5" spans="1:69">
      <c r="A5" s="218" t="s">
        <v>733</v>
      </c>
      <c r="B5" s="218" t="s">
        <v>15</v>
      </c>
      <c r="C5" s="219" t="s">
        <v>665</v>
      </c>
      <c r="D5" s="219">
        <v>4</v>
      </c>
      <c r="E5" s="220">
        <v>0.53888888888888886</v>
      </c>
      <c r="F5" s="220">
        <v>0.5659953703703704</v>
      </c>
      <c r="G5" s="220">
        <v>0.65416666666666667</v>
      </c>
      <c r="H5" s="208">
        <v>2.7106481481481537E-2</v>
      </c>
      <c r="I5" s="208">
        <v>6.2847222222223165E-3</v>
      </c>
      <c r="J5" s="208">
        <v>0.11527777777777781</v>
      </c>
      <c r="K5" s="220">
        <v>0.13194444444444445</v>
      </c>
      <c r="L5" s="220"/>
      <c r="M5" s="220"/>
      <c r="N5" s="220"/>
      <c r="O5" s="208">
        <v>0</v>
      </c>
      <c r="P5" s="208">
        <v>0</v>
      </c>
      <c r="Q5" s="208">
        <v>0</v>
      </c>
      <c r="R5" s="220">
        <v>0.15972222222222224</v>
      </c>
      <c r="S5" s="221">
        <v>0.6</v>
      </c>
      <c r="T5" s="221"/>
      <c r="U5" s="221">
        <v>3</v>
      </c>
      <c r="V5" s="221"/>
      <c r="W5" s="238">
        <v>15.5</v>
      </c>
      <c r="X5" s="238">
        <v>20</v>
      </c>
      <c r="Y5" s="238">
        <v>5</v>
      </c>
      <c r="Z5" s="238">
        <v>5</v>
      </c>
      <c r="AA5" s="221">
        <v>3.2</v>
      </c>
      <c r="AB5" s="221">
        <v>3.2</v>
      </c>
      <c r="AC5" s="221">
        <v>2.1</v>
      </c>
      <c r="AD5" s="221">
        <v>2.4</v>
      </c>
      <c r="AE5" s="221">
        <v>2</v>
      </c>
      <c r="AF5" s="238">
        <v>0.6</v>
      </c>
      <c r="AG5" s="238">
        <v>3</v>
      </c>
      <c r="AH5" s="221"/>
      <c r="AI5" s="221">
        <v>5</v>
      </c>
      <c r="AJ5" s="221">
        <v>5</v>
      </c>
      <c r="AK5" s="221"/>
      <c r="AL5" s="238">
        <v>72</v>
      </c>
      <c r="AM5" s="243">
        <v>4</v>
      </c>
      <c r="AN5" s="218"/>
      <c r="AO5" s="243">
        <v>4</v>
      </c>
      <c r="AP5" s="196"/>
      <c r="AQ5" s="196"/>
      <c r="AR5" s="196"/>
      <c r="AS5" s="196"/>
      <c r="AT5" s="196"/>
      <c r="AU5" s="197" t="e">
        <v>#DIV/0!</v>
      </c>
      <c r="AV5" s="196">
        <v>11.55</v>
      </c>
      <c r="AW5" s="196">
        <v>12.8</v>
      </c>
      <c r="AX5" s="196">
        <v>11.7</v>
      </c>
      <c r="AY5" s="196">
        <v>12.5</v>
      </c>
      <c r="BA5" s="199">
        <v>12.137499999999999</v>
      </c>
      <c r="BB5" s="200">
        <v>12</v>
      </c>
      <c r="BC5" s="200">
        <v>0</v>
      </c>
      <c r="BD5" s="196"/>
      <c r="BE5" s="196"/>
      <c r="BF5" s="196"/>
      <c r="BG5" s="196"/>
      <c r="BI5" s="199" t="e">
        <v>#DIV/0!</v>
      </c>
      <c r="BJ5" s="196"/>
      <c r="BK5" s="196"/>
      <c r="BL5" s="196"/>
      <c r="BM5" s="196"/>
      <c r="BN5" s="196"/>
      <c r="BO5" s="199" t="e">
        <v>#DIV/0!</v>
      </c>
      <c r="BP5" s="200">
        <v>11</v>
      </c>
      <c r="BQ5" s="200">
        <v>0</v>
      </c>
    </row>
    <row r="6" spans="1:69">
      <c r="A6" s="218" t="s">
        <v>733</v>
      </c>
      <c r="B6" s="218" t="s">
        <v>124</v>
      </c>
      <c r="C6" s="219" t="s">
        <v>660</v>
      </c>
      <c r="D6" s="219">
        <v>4</v>
      </c>
      <c r="E6" s="220">
        <v>0.53541666666666665</v>
      </c>
      <c r="F6" s="220">
        <v>0.56491898148148145</v>
      </c>
      <c r="G6" s="220">
        <v>0.66295138888888883</v>
      </c>
      <c r="H6" s="208">
        <v>2.9502314814814801E-2</v>
      </c>
      <c r="I6" s="208">
        <v>8.6805555555555802E-3</v>
      </c>
      <c r="J6" s="208">
        <v>0.12753472222222217</v>
      </c>
      <c r="K6" s="220">
        <v>0.13194444444444445</v>
      </c>
      <c r="L6" s="220"/>
      <c r="M6" s="220"/>
      <c r="N6" s="220"/>
      <c r="O6" s="208">
        <v>0</v>
      </c>
      <c r="P6" s="208">
        <v>0</v>
      </c>
      <c r="Q6" s="208">
        <v>0</v>
      </c>
      <c r="R6" s="220">
        <v>0.15972222222222224</v>
      </c>
      <c r="S6" s="221">
        <v>0.8</v>
      </c>
      <c r="T6" s="221"/>
      <c r="U6" s="221">
        <v>2</v>
      </c>
      <c r="V6" s="221"/>
      <c r="W6" s="238">
        <v>13.8</v>
      </c>
      <c r="X6" s="238">
        <v>20</v>
      </c>
      <c r="Y6" s="238">
        <v>5</v>
      </c>
      <c r="Z6" s="238">
        <v>5</v>
      </c>
      <c r="AA6" s="221">
        <v>0.6</v>
      </c>
      <c r="AB6" s="221">
        <v>3</v>
      </c>
      <c r="AC6" s="221">
        <v>2.5</v>
      </c>
      <c r="AD6" s="221">
        <v>2.2999999999999998</v>
      </c>
      <c r="AE6" s="221">
        <v>1.6</v>
      </c>
      <c r="AF6" s="238">
        <v>0.8</v>
      </c>
      <c r="AG6" s="238">
        <v>2</v>
      </c>
      <c r="AH6" s="221"/>
      <c r="AI6" s="221">
        <v>5</v>
      </c>
      <c r="AJ6" s="221">
        <v>5</v>
      </c>
      <c r="AK6" s="221"/>
      <c r="AL6" s="238">
        <v>66.599999999999994</v>
      </c>
      <c r="AM6" s="243">
        <v>6</v>
      </c>
      <c r="AN6" s="218"/>
      <c r="AO6" s="243">
        <v>5</v>
      </c>
      <c r="AP6" s="196"/>
      <c r="AQ6" s="196"/>
      <c r="AR6" s="196"/>
      <c r="AS6" s="196"/>
      <c r="AT6" s="196"/>
      <c r="AU6" s="197" t="e">
        <v>#DIV/0!</v>
      </c>
      <c r="AV6" s="196">
        <v>12.8</v>
      </c>
      <c r="AW6" s="196">
        <v>12.6</v>
      </c>
      <c r="AX6" s="196">
        <v>12.9</v>
      </c>
      <c r="AY6" s="196">
        <v>13.85</v>
      </c>
      <c r="BA6" s="199">
        <v>13.0375</v>
      </c>
      <c r="BB6" s="200">
        <v>12</v>
      </c>
      <c r="BC6" s="200">
        <v>0</v>
      </c>
      <c r="BD6" s="196"/>
      <c r="BE6" s="196"/>
      <c r="BF6" s="196"/>
      <c r="BG6" s="196"/>
      <c r="BI6" s="199" t="e">
        <v>#DIV/0!</v>
      </c>
      <c r="BJ6" s="196"/>
      <c r="BK6" s="196"/>
      <c r="BL6" s="196"/>
      <c r="BM6" s="196"/>
      <c r="BN6" s="196"/>
      <c r="BO6" s="199" t="e">
        <v>#DIV/0!</v>
      </c>
      <c r="BP6" s="200">
        <v>11</v>
      </c>
      <c r="BQ6" s="200">
        <v>0</v>
      </c>
    </row>
    <row r="7" spans="1:69">
      <c r="A7" s="218" t="s">
        <v>733</v>
      </c>
      <c r="B7" s="218" t="s">
        <v>179</v>
      </c>
      <c r="C7" s="219" t="s">
        <v>663</v>
      </c>
      <c r="D7" s="219">
        <v>4</v>
      </c>
      <c r="E7" s="220">
        <v>0.53749999999999998</v>
      </c>
      <c r="F7" s="220">
        <v>0.57049768518518518</v>
      </c>
      <c r="G7" s="220">
        <v>0.66765046296296304</v>
      </c>
      <c r="H7" s="208">
        <v>3.2997685185185199E-2</v>
      </c>
      <c r="I7" s="208">
        <v>1.2175925925925979E-2</v>
      </c>
      <c r="J7" s="208">
        <v>0.13015046296296306</v>
      </c>
      <c r="K7" s="220">
        <v>0.13194444444444445</v>
      </c>
      <c r="L7" s="220"/>
      <c r="M7" s="220"/>
      <c r="N7" s="220"/>
      <c r="O7" s="208">
        <v>0</v>
      </c>
      <c r="P7" s="208">
        <v>0</v>
      </c>
      <c r="Q7" s="208">
        <v>0</v>
      </c>
      <c r="R7" s="220">
        <v>0.15972222222222224</v>
      </c>
      <c r="S7" s="221">
        <v>0.6</v>
      </c>
      <c r="T7" s="221"/>
      <c r="U7" s="221">
        <v>5</v>
      </c>
      <c r="V7" s="221"/>
      <c r="W7" s="238">
        <v>11.2</v>
      </c>
      <c r="X7" s="238">
        <v>20</v>
      </c>
      <c r="Y7" s="238">
        <v>5</v>
      </c>
      <c r="Z7" s="238">
        <v>5</v>
      </c>
      <c r="AA7" s="221">
        <v>2.5</v>
      </c>
      <c r="AB7" s="221">
        <v>2.2999999999999998</v>
      </c>
      <c r="AC7" s="221">
        <v>3.5</v>
      </c>
      <c r="AD7" s="221">
        <v>2.9</v>
      </c>
      <c r="AE7" s="221">
        <v>2</v>
      </c>
      <c r="AF7" s="238">
        <v>0.6</v>
      </c>
      <c r="AG7" s="238">
        <v>5</v>
      </c>
      <c r="AH7" s="221"/>
      <c r="AI7" s="221">
        <v>4.8</v>
      </c>
      <c r="AJ7" s="221">
        <v>5</v>
      </c>
      <c r="AK7" s="221"/>
      <c r="AL7" s="238">
        <v>69.8</v>
      </c>
      <c r="AM7" s="243">
        <v>5</v>
      </c>
      <c r="AN7" s="218"/>
      <c r="AO7" s="243">
        <v>6</v>
      </c>
      <c r="AP7" s="196"/>
      <c r="AQ7" s="196"/>
      <c r="AR7" s="196"/>
      <c r="AS7" s="196"/>
      <c r="AT7" s="196"/>
      <c r="AU7" s="197" t="e">
        <v>#DIV/0!</v>
      </c>
      <c r="AV7" s="196">
        <v>14.05</v>
      </c>
      <c r="AW7" s="196">
        <v>11.5</v>
      </c>
      <c r="AX7" s="196">
        <v>11.75</v>
      </c>
      <c r="AY7" s="196">
        <v>13.8</v>
      </c>
      <c r="BA7" s="199">
        <v>12.774999999999999</v>
      </c>
      <c r="BB7" s="200">
        <v>12</v>
      </c>
      <c r="BC7" s="200">
        <v>0</v>
      </c>
      <c r="BD7" s="196"/>
      <c r="BE7" s="196"/>
      <c r="BF7" s="196"/>
      <c r="BG7" s="196"/>
      <c r="BI7" s="199" t="e">
        <v>#DIV/0!</v>
      </c>
      <c r="BJ7" s="196"/>
      <c r="BK7" s="196"/>
      <c r="BL7" s="196"/>
      <c r="BM7" s="196"/>
      <c r="BN7" s="196"/>
      <c r="BO7" s="199" t="e">
        <v>#DIV/0!</v>
      </c>
      <c r="BP7" s="200">
        <v>11</v>
      </c>
      <c r="BQ7" s="200">
        <v>0</v>
      </c>
    </row>
    <row r="8" spans="1:69">
      <c r="A8" s="218" t="s">
        <v>733</v>
      </c>
      <c r="B8" s="218" t="s">
        <v>701</v>
      </c>
      <c r="C8" s="219" t="s">
        <v>704</v>
      </c>
      <c r="D8" s="219">
        <v>4</v>
      </c>
      <c r="E8" s="220">
        <v>0.5395833333333333</v>
      </c>
      <c r="F8" s="220">
        <v>0.57396990740740739</v>
      </c>
      <c r="G8" s="220">
        <v>0.6620138888888889</v>
      </c>
      <c r="H8" s="208">
        <v>3.4386574074074083E-2</v>
      </c>
      <c r="I8" s="208">
        <v>1.3564814814814863E-2</v>
      </c>
      <c r="J8" s="208">
        <v>0.1224305555555556</v>
      </c>
      <c r="K8" s="220">
        <v>0.13194444444444445</v>
      </c>
      <c r="L8" s="220"/>
      <c r="M8" s="220"/>
      <c r="N8" s="220"/>
      <c r="O8" s="208">
        <v>0</v>
      </c>
      <c r="P8" s="208">
        <v>0</v>
      </c>
      <c r="Q8" s="208">
        <v>0</v>
      </c>
      <c r="R8" s="220">
        <v>0.15972222222222224</v>
      </c>
      <c r="S8" s="221">
        <v>0.2</v>
      </c>
      <c r="T8" s="221"/>
      <c r="U8" s="221">
        <v>0</v>
      </c>
      <c r="V8" s="221"/>
      <c r="W8" s="238">
        <v>10.199999999999999</v>
      </c>
      <c r="X8" s="238">
        <v>20</v>
      </c>
      <c r="Y8" s="238">
        <v>5</v>
      </c>
      <c r="Z8" s="238">
        <v>5</v>
      </c>
      <c r="AA8" s="221">
        <v>0.6</v>
      </c>
      <c r="AB8" s="221">
        <v>0</v>
      </c>
      <c r="AC8" s="221">
        <v>1.2</v>
      </c>
      <c r="AD8" s="221">
        <v>1.1000000000000001</v>
      </c>
      <c r="AE8" s="221">
        <v>1</v>
      </c>
      <c r="AF8" s="238">
        <v>0.2</v>
      </c>
      <c r="AG8" s="238">
        <v>0</v>
      </c>
      <c r="AH8" s="221"/>
      <c r="AI8" s="221">
        <v>4.3</v>
      </c>
      <c r="AJ8" s="221">
        <v>3.5</v>
      </c>
      <c r="AK8" s="221"/>
      <c r="AL8" s="238">
        <v>52.100000000000009</v>
      </c>
      <c r="AM8" s="243">
        <v>8</v>
      </c>
      <c r="AN8" s="218"/>
      <c r="AO8" s="243">
        <v>7</v>
      </c>
      <c r="AP8" s="196"/>
      <c r="AQ8" s="196"/>
      <c r="AR8" s="196"/>
      <c r="AS8" s="196"/>
      <c r="AT8" s="196"/>
      <c r="AU8" s="197" t="e">
        <v>#DIV/0!</v>
      </c>
      <c r="AV8" s="196">
        <v>13.05</v>
      </c>
      <c r="AW8" s="196">
        <v>14.3</v>
      </c>
      <c r="AX8" s="196">
        <v>14.25</v>
      </c>
      <c r="AY8" s="196">
        <v>12.9</v>
      </c>
      <c r="BA8" s="199">
        <v>13.625</v>
      </c>
      <c r="BB8" s="200">
        <v>12</v>
      </c>
      <c r="BC8" s="200">
        <v>0</v>
      </c>
      <c r="BD8" s="196"/>
      <c r="BE8" s="196"/>
      <c r="BF8" s="196"/>
      <c r="BG8" s="196"/>
      <c r="BI8" s="199" t="e">
        <v>#DIV/0!</v>
      </c>
      <c r="BJ8" s="196"/>
      <c r="BK8" s="196"/>
      <c r="BL8" s="196"/>
      <c r="BM8" s="196"/>
      <c r="BN8" s="196"/>
      <c r="BO8" s="199" t="e">
        <v>#DIV/0!</v>
      </c>
      <c r="BP8" s="200">
        <v>11</v>
      </c>
      <c r="BQ8" s="200">
        <v>0</v>
      </c>
    </row>
    <row r="9" spans="1:69" ht="14.25" thickBot="1">
      <c r="A9" s="223" t="s">
        <v>733</v>
      </c>
      <c r="B9" s="223" t="s">
        <v>133</v>
      </c>
      <c r="C9" s="224" t="s">
        <v>662</v>
      </c>
      <c r="D9" s="224">
        <v>4</v>
      </c>
      <c r="E9" s="225">
        <v>0.53680555555555554</v>
      </c>
      <c r="F9" s="225">
        <v>0.57450231481481484</v>
      </c>
      <c r="G9" s="225">
        <v>0.66502314814814811</v>
      </c>
      <c r="H9" s="209">
        <v>3.7696759259259305E-2</v>
      </c>
      <c r="I9" s="209">
        <v>1.6875000000000084E-2</v>
      </c>
      <c r="J9" s="209">
        <v>0.12821759259259258</v>
      </c>
      <c r="K9" s="225">
        <v>0.13194444444444445</v>
      </c>
      <c r="L9" s="225"/>
      <c r="M9" s="225"/>
      <c r="N9" s="225"/>
      <c r="O9" s="209">
        <v>0</v>
      </c>
      <c r="P9" s="209">
        <v>0</v>
      </c>
      <c r="Q9" s="209">
        <v>0</v>
      </c>
      <c r="R9" s="225">
        <v>0.15972222222222224</v>
      </c>
      <c r="S9" s="226">
        <v>0.2</v>
      </c>
      <c r="T9" s="226"/>
      <c r="U9" s="226">
        <v>3</v>
      </c>
      <c r="V9" s="226"/>
      <c r="W9" s="239">
        <v>7.8</v>
      </c>
      <c r="X9" s="239">
        <v>20</v>
      </c>
      <c r="Y9" s="239">
        <v>5</v>
      </c>
      <c r="Z9" s="239">
        <v>5</v>
      </c>
      <c r="AA9" s="226">
        <v>0.5</v>
      </c>
      <c r="AB9" s="226">
        <v>2.2999999999999998</v>
      </c>
      <c r="AC9" s="226">
        <v>1.8</v>
      </c>
      <c r="AD9" s="226">
        <v>1.4</v>
      </c>
      <c r="AE9" s="226">
        <v>1</v>
      </c>
      <c r="AF9" s="239">
        <v>0.2</v>
      </c>
      <c r="AG9" s="239">
        <v>3</v>
      </c>
      <c r="AH9" s="226"/>
      <c r="AI9" s="226">
        <v>5</v>
      </c>
      <c r="AJ9" s="226">
        <v>5</v>
      </c>
      <c r="AK9" s="226"/>
      <c r="AL9" s="239">
        <v>57.999999999999993</v>
      </c>
      <c r="AM9" s="244">
        <v>7</v>
      </c>
      <c r="AN9" s="223"/>
      <c r="AO9" s="244">
        <v>8</v>
      </c>
      <c r="AP9" s="196"/>
      <c r="AQ9" s="196"/>
      <c r="AR9" s="196"/>
      <c r="AS9" s="196"/>
      <c r="AT9" s="196"/>
      <c r="AU9" s="197" t="e">
        <v>#DIV/0!</v>
      </c>
      <c r="AV9" s="196">
        <v>12.65</v>
      </c>
      <c r="AW9" s="196">
        <v>11.65</v>
      </c>
      <c r="AX9" s="196">
        <v>11.8</v>
      </c>
      <c r="AY9" s="196">
        <v>11.95</v>
      </c>
      <c r="AZ9" s="286"/>
      <c r="BA9" s="199">
        <v>12.012499999999999</v>
      </c>
      <c r="BB9" s="200">
        <v>12</v>
      </c>
      <c r="BC9" s="200">
        <v>0</v>
      </c>
      <c r="BD9" s="196"/>
      <c r="BE9" s="196"/>
      <c r="BF9" s="196"/>
      <c r="BG9" s="196"/>
      <c r="BI9" s="199" t="e">
        <v>#DIV/0!</v>
      </c>
      <c r="BJ9" s="196"/>
      <c r="BK9" s="196"/>
      <c r="BL9" s="196"/>
      <c r="BM9" s="196"/>
      <c r="BN9" s="196"/>
      <c r="BO9" s="199" t="e">
        <v>#DIV/0!</v>
      </c>
      <c r="BP9" s="200">
        <v>11</v>
      </c>
      <c r="BQ9" s="200">
        <v>0</v>
      </c>
    </row>
    <row r="10" spans="1:69">
      <c r="A10" s="227" t="s">
        <v>734</v>
      </c>
      <c r="B10" s="227" t="s">
        <v>730</v>
      </c>
      <c r="C10" s="228" t="s">
        <v>667</v>
      </c>
      <c r="D10" s="228">
        <v>4</v>
      </c>
      <c r="E10" s="229">
        <v>0.54097222222222219</v>
      </c>
      <c r="F10" s="229">
        <v>0.56550925925925932</v>
      </c>
      <c r="G10" s="229">
        <v>0.66043981481481484</v>
      </c>
      <c r="H10" s="210">
        <v>2.4537037037037135E-2</v>
      </c>
      <c r="I10" s="210">
        <v>3.7152777777779145E-3</v>
      </c>
      <c r="J10" s="210">
        <v>0.11946759259259265</v>
      </c>
      <c r="K10" s="229">
        <v>0.13194444444444445</v>
      </c>
      <c r="L10" s="229"/>
      <c r="M10" s="229"/>
      <c r="N10" s="229"/>
      <c r="O10" s="210">
        <v>0</v>
      </c>
      <c r="P10" s="210">
        <v>0</v>
      </c>
      <c r="Q10" s="210">
        <v>0</v>
      </c>
      <c r="R10" s="229">
        <v>0.15972222222222224</v>
      </c>
      <c r="S10" s="230">
        <v>1</v>
      </c>
      <c r="T10" s="230"/>
      <c r="U10" s="230">
        <v>6</v>
      </c>
      <c r="V10" s="230"/>
      <c r="W10" s="240">
        <v>17.3</v>
      </c>
      <c r="X10" s="240">
        <v>20</v>
      </c>
      <c r="Y10" s="240">
        <v>5</v>
      </c>
      <c r="Z10" s="240">
        <v>5</v>
      </c>
      <c r="AA10" s="230">
        <v>2.9</v>
      </c>
      <c r="AB10" s="230">
        <v>3.1</v>
      </c>
      <c r="AC10" s="230">
        <v>3.6</v>
      </c>
      <c r="AD10" s="230">
        <v>2.9</v>
      </c>
      <c r="AE10" s="230">
        <v>2</v>
      </c>
      <c r="AF10" s="240">
        <v>1</v>
      </c>
      <c r="AG10" s="240">
        <v>6</v>
      </c>
      <c r="AH10" s="230"/>
      <c r="AI10" s="230">
        <v>5</v>
      </c>
      <c r="AJ10" s="230">
        <v>5</v>
      </c>
      <c r="AK10" s="230"/>
      <c r="AL10" s="240">
        <v>78.8</v>
      </c>
      <c r="AM10" s="245">
        <v>1</v>
      </c>
      <c r="AN10" s="227"/>
      <c r="AO10" s="245">
        <v>1</v>
      </c>
      <c r="AP10" s="196"/>
      <c r="AQ10" s="196"/>
      <c r="AR10" s="196"/>
      <c r="AS10" s="196"/>
      <c r="AT10" s="196"/>
      <c r="AU10" s="197" t="e">
        <v>#DIV/0!</v>
      </c>
      <c r="AV10" s="196">
        <v>12.7</v>
      </c>
      <c r="AW10" s="196">
        <v>10.75</v>
      </c>
      <c r="AX10" s="196">
        <v>11.85</v>
      </c>
      <c r="AY10" s="196">
        <v>9.6</v>
      </c>
      <c r="AZ10" s="198">
        <v>18.3</v>
      </c>
      <c r="BA10" s="199">
        <v>12.64</v>
      </c>
      <c r="BB10" s="200">
        <v>12</v>
      </c>
      <c r="BC10" s="200">
        <v>0</v>
      </c>
      <c r="BD10" s="196"/>
      <c r="BE10" s="196"/>
      <c r="BF10" s="196"/>
      <c r="BG10" s="196"/>
      <c r="BI10" s="199" t="e">
        <v>#DIV/0!</v>
      </c>
      <c r="BJ10" s="196"/>
      <c r="BK10" s="196"/>
      <c r="BL10" s="196"/>
      <c r="BM10" s="196"/>
      <c r="BN10" s="196"/>
      <c r="BO10" s="199" t="e">
        <v>#DIV/0!</v>
      </c>
      <c r="BP10" s="200">
        <v>11</v>
      </c>
      <c r="BQ10" s="200">
        <v>0</v>
      </c>
    </row>
    <row r="11" spans="1:69">
      <c r="A11" s="218" t="s">
        <v>734</v>
      </c>
      <c r="B11" s="218" t="s">
        <v>708</v>
      </c>
      <c r="C11" s="219" t="s">
        <v>672</v>
      </c>
      <c r="D11" s="219">
        <v>4</v>
      </c>
      <c r="E11" s="220">
        <v>0.54375000000000007</v>
      </c>
      <c r="F11" s="220">
        <v>0.56855324074074076</v>
      </c>
      <c r="G11" s="220">
        <v>0.65295138888888882</v>
      </c>
      <c r="H11" s="208">
        <v>2.4803240740740695E-2</v>
      </c>
      <c r="I11" s="208">
        <v>3.9814814814814747E-3</v>
      </c>
      <c r="J11" s="208">
        <v>0.10920138888888875</v>
      </c>
      <c r="K11" s="220">
        <v>0.13194444444444445</v>
      </c>
      <c r="L11" s="220"/>
      <c r="M11" s="220"/>
      <c r="N11" s="220"/>
      <c r="O11" s="208">
        <v>0</v>
      </c>
      <c r="P11" s="208">
        <v>0</v>
      </c>
      <c r="Q11" s="208">
        <v>0</v>
      </c>
      <c r="R11" s="220">
        <v>0.15972222222222224</v>
      </c>
      <c r="S11" s="221">
        <v>1</v>
      </c>
      <c r="T11" s="221"/>
      <c r="U11" s="221">
        <v>5</v>
      </c>
      <c r="V11" s="221"/>
      <c r="W11" s="238">
        <v>17.100000000000001</v>
      </c>
      <c r="X11" s="238">
        <v>20</v>
      </c>
      <c r="Y11" s="238">
        <v>5</v>
      </c>
      <c r="Z11" s="238">
        <v>5</v>
      </c>
      <c r="AA11" s="221">
        <v>3.3</v>
      </c>
      <c r="AB11" s="221">
        <v>3.9</v>
      </c>
      <c r="AC11" s="221">
        <v>3.3</v>
      </c>
      <c r="AD11" s="221">
        <v>3.3</v>
      </c>
      <c r="AE11" s="221">
        <v>1.8</v>
      </c>
      <c r="AF11" s="238">
        <v>1</v>
      </c>
      <c r="AG11" s="238">
        <v>5</v>
      </c>
      <c r="AH11" s="221"/>
      <c r="AI11" s="221">
        <v>4.8</v>
      </c>
      <c r="AJ11" s="221">
        <v>5</v>
      </c>
      <c r="AK11" s="221"/>
      <c r="AL11" s="238">
        <v>78.499999999999986</v>
      </c>
      <c r="AM11" s="243">
        <v>2</v>
      </c>
      <c r="AN11" s="218"/>
      <c r="AO11" s="243">
        <v>2</v>
      </c>
      <c r="AP11" s="196"/>
      <c r="AQ11" s="196"/>
      <c r="AR11" s="196"/>
      <c r="AS11" s="196"/>
      <c r="AT11" s="196"/>
      <c r="AU11" s="197" t="e">
        <v>#DIV/0!</v>
      </c>
      <c r="AV11" s="196">
        <v>12.65</v>
      </c>
      <c r="AW11" s="196">
        <v>12.4</v>
      </c>
      <c r="AX11" s="196">
        <v>11.45</v>
      </c>
      <c r="AY11" s="196">
        <v>12.2</v>
      </c>
      <c r="BA11" s="199">
        <v>12.175000000000001</v>
      </c>
      <c r="BB11" s="200">
        <v>12</v>
      </c>
      <c r="BC11" s="200">
        <v>0</v>
      </c>
      <c r="BD11" s="196"/>
      <c r="BE11" s="196"/>
      <c r="BF11" s="196"/>
      <c r="BG11" s="196"/>
      <c r="BI11" s="199" t="e">
        <v>#DIV/0!</v>
      </c>
      <c r="BJ11" s="196"/>
      <c r="BK11" s="196"/>
      <c r="BL11" s="196"/>
      <c r="BM11" s="196"/>
      <c r="BN11" s="196"/>
      <c r="BO11" s="199" t="e">
        <v>#DIV/0!</v>
      </c>
      <c r="BP11" s="200">
        <v>11</v>
      </c>
      <c r="BQ11" s="200">
        <v>0</v>
      </c>
    </row>
    <row r="12" spans="1:69">
      <c r="A12" s="218" t="s">
        <v>734</v>
      </c>
      <c r="B12" s="218" t="s">
        <v>719</v>
      </c>
      <c r="C12" s="219" t="s">
        <v>676</v>
      </c>
      <c r="D12" s="219">
        <v>4</v>
      </c>
      <c r="E12" s="220">
        <v>0.54652777777777695</v>
      </c>
      <c r="F12" s="220">
        <v>0.57234953703703706</v>
      </c>
      <c r="G12" s="220">
        <v>0.67062499999999992</v>
      </c>
      <c r="H12" s="208">
        <v>2.5821759259260113E-2</v>
      </c>
      <c r="I12" s="208">
        <v>5.0000000000008926E-3</v>
      </c>
      <c r="J12" s="208">
        <v>0.12409722222222297</v>
      </c>
      <c r="K12" s="220">
        <v>0.13194444444444445</v>
      </c>
      <c r="L12" s="220"/>
      <c r="M12" s="220"/>
      <c r="N12" s="220"/>
      <c r="O12" s="208">
        <v>0</v>
      </c>
      <c r="P12" s="208">
        <v>0</v>
      </c>
      <c r="Q12" s="208">
        <v>0</v>
      </c>
      <c r="R12" s="220">
        <v>0.15972222222222224</v>
      </c>
      <c r="S12" s="221">
        <v>0.8</v>
      </c>
      <c r="T12" s="221"/>
      <c r="U12" s="221">
        <v>6</v>
      </c>
      <c r="V12" s="221"/>
      <c r="W12" s="238">
        <v>16.399999999999999</v>
      </c>
      <c r="X12" s="238">
        <v>20</v>
      </c>
      <c r="Y12" s="238">
        <v>5</v>
      </c>
      <c r="Z12" s="238">
        <v>5</v>
      </c>
      <c r="AA12" s="221">
        <v>3.5</v>
      </c>
      <c r="AB12" s="221">
        <v>3.4</v>
      </c>
      <c r="AC12" s="221">
        <v>3.8</v>
      </c>
      <c r="AD12" s="221">
        <v>3.1</v>
      </c>
      <c r="AE12" s="221">
        <v>2</v>
      </c>
      <c r="AF12" s="238">
        <v>0.8</v>
      </c>
      <c r="AG12" s="238">
        <v>6</v>
      </c>
      <c r="AH12" s="221"/>
      <c r="AI12" s="221">
        <v>4</v>
      </c>
      <c r="AJ12" s="221">
        <v>5</v>
      </c>
      <c r="AK12" s="221"/>
      <c r="AL12" s="238">
        <v>78</v>
      </c>
      <c r="AM12" s="243">
        <v>3</v>
      </c>
      <c r="AN12" s="218"/>
      <c r="AO12" s="243">
        <v>3</v>
      </c>
      <c r="AP12" s="196"/>
      <c r="AQ12" s="196"/>
      <c r="AR12" s="196"/>
      <c r="AS12" s="196"/>
      <c r="AT12" s="196"/>
      <c r="AU12" s="197" t="e">
        <v>#DIV/0!</v>
      </c>
      <c r="AV12" s="196">
        <v>13.4</v>
      </c>
      <c r="AW12" s="196">
        <v>15.2</v>
      </c>
      <c r="AX12" s="196">
        <v>15.75</v>
      </c>
      <c r="AY12" s="196"/>
      <c r="BA12" s="199">
        <v>14.783333333333333</v>
      </c>
      <c r="BB12" s="200">
        <v>12</v>
      </c>
      <c r="BC12" s="200">
        <v>0</v>
      </c>
      <c r="BD12" s="196"/>
      <c r="BE12" s="196"/>
      <c r="BF12" s="196"/>
      <c r="BG12" s="196"/>
      <c r="BI12" s="199" t="e">
        <v>#DIV/0!</v>
      </c>
      <c r="BJ12" s="196"/>
      <c r="BK12" s="196"/>
      <c r="BL12" s="196"/>
      <c r="BM12" s="196"/>
      <c r="BN12" s="196"/>
      <c r="BO12" s="199" t="e">
        <v>#DIV/0!</v>
      </c>
      <c r="BP12" s="200">
        <v>11</v>
      </c>
      <c r="BQ12" s="200">
        <v>0</v>
      </c>
    </row>
    <row r="13" spans="1:69">
      <c r="A13" s="218" t="s">
        <v>734</v>
      </c>
      <c r="B13" s="218" t="s">
        <v>710</v>
      </c>
      <c r="C13" s="219" t="s">
        <v>675</v>
      </c>
      <c r="D13" s="219">
        <v>5</v>
      </c>
      <c r="E13" s="220">
        <v>0.54583333333333295</v>
      </c>
      <c r="F13" s="220">
        <v>0.57200231481481478</v>
      </c>
      <c r="G13" s="220">
        <v>0.66665509259259259</v>
      </c>
      <c r="H13" s="208">
        <v>2.6168981481481834E-2</v>
      </c>
      <c r="I13" s="208">
        <v>5.347222222222614E-3</v>
      </c>
      <c r="J13" s="208">
        <v>0.12082175925925964</v>
      </c>
      <c r="K13" s="220">
        <v>0.13194444444444445</v>
      </c>
      <c r="L13" s="220"/>
      <c r="M13" s="220"/>
      <c r="N13" s="220"/>
      <c r="O13" s="208">
        <v>0</v>
      </c>
      <c r="P13" s="208">
        <v>0</v>
      </c>
      <c r="Q13" s="208">
        <v>0</v>
      </c>
      <c r="R13" s="220">
        <v>0.15972222222222224</v>
      </c>
      <c r="S13" s="221">
        <v>0.7</v>
      </c>
      <c r="T13" s="221"/>
      <c r="U13" s="221">
        <v>5</v>
      </c>
      <c r="V13" s="221"/>
      <c r="W13" s="238">
        <v>16.100000000000001</v>
      </c>
      <c r="X13" s="238">
        <v>20</v>
      </c>
      <c r="Y13" s="238">
        <v>5</v>
      </c>
      <c r="Z13" s="238">
        <v>5</v>
      </c>
      <c r="AA13" s="221">
        <v>3.9</v>
      </c>
      <c r="AB13" s="221">
        <v>0</v>
      </c>
      <c r="AC13" s="221">
        <v>2.8</v>
      </c>
      <c r="AD13" s="221">
        <v>2</v>
      </c>
      <c r="AE13" s="221">
        <v>1.8</v>
      </c>
      <c r="AF13" s="238">
        <v>0.7</v>
      </c>
      <c r="AG13" s="238">
        <v>5</v>
      </c>
      <c r="AH13" s="221"/>
      <c r="AI13" s="221">
        <v>5</v>
      </c>
      <c r="AJ13" s="221">
        <v>5</v>
      </c>
      <c r="AK13" s="221"/>
      <c r="AL13" s="238">
        <v>72.3</v>
      </c>
      <c r="AM13" s="243">
        <v>7</v>
      </c>
      <c r="AN13" s="218"/>
      <c r="AO13" s="243">
        <v>4</v>
      </c>
      <c r="AP13" s="196"/>
      <c r="AQ13" s="196"/>
      <c r="AR13" s="196"/>
      <c r="AS13" s="196"/>
      <c r="AT13" s="196"/>
      <c r="AU13" s="197" t="e">
        <v>#DIV/0!</v>
      </c>
      <c r="AV13" s="196">
        <v>14.05</v>
      </c>
      <c r="AW13" s="196">
        <v>13.55</v>
      </c>
      <c r="AX13" s="196">
        <v>14.25</v>
      </c>
      <c r="AY13" s="196">
        <v>11.85</v>
      </c>
      <c r="BA13" s="199">
        <v>13.425000000000001</v>
      </c>
      <c r="BB13" s="200">
        <v>12</v>
      </c>
      <c r="BC13" s="200">
        <v>0</v>
      </c>
      <c r="BD13" s="196"/>
      <c r="BE13" s="196"/>
      <c r="BF13" s="196"/>
      <c r="BG13" s="196"/>
      <c r="BI13" s="199" t="e">
        <v>#DIV/0!</v>
      </c>
      <c r="BJ13" s="196"/>
      <c r="BK13" s="196"/>
      <c r="BL13" s="196"/>
      <c r="BM13" s="196"/>
      <c r="BN13" s="196"/>
      <c r="BO13" s="199" t="e">
        <v>#DIV/0!</v>
      </c>
      <c r="BP13" s="200">
        <v>11</v>
      </c>
      <c r="BQ13" s="200">
        <v>0</v>
      </c>
    </row>
    <row r="14" spans="1:69">
      <c r="A14" s="218" t="s">
        <v>734</v>
      </c>
      <c r="B14" s="218" t="s">
        <v>749</v>
      </c>
      <c r="C14" s="219" t="s">
        <v>723</v>
      </c>
      <c r="D14" s="219">
        <v>5</v>
      </c>
      <c r="E14" s="220">
        <v>0.55069444444444304</v>
      </c>
      <c r="F14" s="220">
        <v>0.57895833333333335</v>
      </c>
      <c r="G14" s="220">
        <v>0.67318287037037028</v>
      </c>
      <c r="H14" s="208">
        <v>2.8263888888890309E-2</v>
      </c>
      <c r="I14" s="208">
        <v>7.442129629631089E-3</v>
      </c>
      <c r="J14" s="208">
        <v>0.12248842592592724</v>
      </c>
      <c r="K14" s="220">
        <v>0.13194444444444445</v>
      </c>
      <c r="L14" s="220"/>
      <c r="M14" s="220"/>
      <c r="N14" s="220"/>
      <c r="O14" s="208">
        <v>0</v>
      </c>
      <c r="P14" s="208">
        <v>0</v>
      </c>
      <c r="Q14" s="208">
        <v>0</v>
      </c>
      <c r="R14" s="220">
        <v>0.15972222222222224</v>
      </c>
      <c r="S14" s="221">
        <v>1</v>
      </c>
      <c r="T14" s="221"/>
      <c r="U14" s="221">
        <v>5</v>
      </c>
      <c r="V14" s="221"/>
      <c r="W14" s="238">
        <v>14.6</v>
      </c>
      <c r="X14" s="238">
        <v>20</v>
      </c>
      <c r="Y14" s="238">
        <v>5</v>
      </c>
      <c r="Z14" s="238">
        <v>5</v>
      </c>
      <c r="AA14" s="221">
        <v>3.9</v>
      </c>
      <c r="AB14" s="221">
        <v>3.4</v>
      </c>
      <c r="AC14" s="221">
        <v>3.5</v>
      </c>
      <c r="AD14" s="221">
        <v>3.1</v>
      </c>
      <c r="AE14" s="221">
        <v>2</v>
      </c>
      <c r="AF14" s="238">
        <v>1</v>
      </c>
      <c r="AG14" s="238">
        <v>5</v>
      </c>
      <c r="AH14" s="221"/>
      <c r="AI14" s="221">
        <v>5</v>
      </c>
      <c r="AJ14" s="221">
        <v>5</v>
      </c>
      <c r="AK14" s="221"/>
      <c r="AL14" s="238">
        <v>76.5</v>
      </c>
      <c r="AM14" s="267">
        <v>4</v>
      </c>
      <c r="AN14" s="218"/>
      <c r="AO14" s="267">
        <v>5</v>
      </c>
      <c r="AP14" s="196"/>
      <c r="AQ14" s="196"/>
      <c r="AR14" s="196"/>
      <c r="AS14" s="196"/>
      <c r="AT14" s="196"/>
      <c r="AU14" s="197" t="e">
        <v>#DIV/0!</v>
      </c>
      <c r="AV14" s="196">
        <v>13.8</v>
      </c>
      <c r="AW14" s="196">
        <v>13.45</v>
      </c>
      <c r="AX14" s="196">
        <v>14.75</v>
      </c>
      <c r="AY14" s="196"/>
      <c r="BA14" s="199">
        <v>14</v>
      </c>
      <c r="BB14" s="200">
        <v>12</v>
      </c>
      <c r="BC14" s="200">
        <v>0</v>
      </c>
      <c r="BD14" s="196"/>
      <c r="BE14" s="196"/>
      <c r="BF14" s="196"/>
      <c r="BG14" s="196"/>
      <c r="BI14" s="199" t="e">
        <v>#DIV/0!</v>
      </c>
      <c r="BJ14" s="196"/>
      <c r="BK14" s="196"/>
      <c r="BL14" s="196"/>
      <c r="BM14" s="196"/>
      <c r="BN14" s="196"/>
      <c r="BO14" s="199" t="e">
        <v>#DIV/0!</v>
      </c>
      <c r="BP14" s="200">
        <v>11</v>
      </c>
      <c r="BQ14" s="200">
        <v>0</v>
      </c>
    </row>
    <row r="15" spans="1:69">
      <c r="A15" s="218" t="s">
        <v>734</v>
      </c>
      <c r="B15" s="218" t="s">
        <v>743</v>
      </c>
      <c r="C15" s="219" t="s">
        <v>679</v>
      </c>
      <c r="D15" s="219">
        <v>5</v>
      </c>
      <c r="E15" s="220">
        <v>0.54861111111111005</v>
      </c>
      <c r="F15" s="220">
        <v>0.5773611111111111</v>
      </c>
      <c r="G15" s="220">
        <v>0.67577546296296298</v>
      </c>
      <c r="H15" s="208">
        <v>2.8750000000001052E-2</v>
      </c>
      <c r="I15" s="208">
        <v>7.928240740741832E-3</v>
      </c>
      <c r="J15" s="208">
        <v>0.12716435185185293</v>
      </c>
      <c r="K15" s="220">
        <v>0.13194444444444445</v>
      </c>
      <c r="L15" s="220"/>
      <c r="M15" s="220"/>
      <c r="N15" s="220"/>
      <c r="O15" s="208">
        <v>0</v>
      </c>
      <c r="P15" s="208">
        <v>0</v>
      </c>
      <c r="Q15" s="208">
        <v>0</v>
      </c>
      <c r="R15" s="220">
        <v>0.15972222222222224</v>
      </c>
      <c r="S15" s="221">
        <v>1</v>
      </c>
      <c r="T15" s="221"/>
      <c r="U15" s="221">
        <v>4</v>
      </c>
      <c r="V15" s="221"/>
      <c r="W15" s="238">
        <v>14.3</v>
      </c>
      <c r="X15" s="238">
        <v>20</v>
      </c>
      <c r="Y15" s="238">
        <v>5</v>
      </c>
      <c r="Z15" s="238">
        <v>5</v>
      </c>
      <c r="AA15" s="221">
        <v>3.6</v>
      </c>
      <c r="AB15" s="221">
        <v>3.9</v>
      </c>
      <c r="AC15" s="221">
        <v>3.3</v>
      </c>
      <c r="AD15" s="221">
        <v>2.4</v>
      </c>
      <c r="AE15" s="221">
        <v>2</v>
      </c>
      <c r="AF15" s="238">
        <v>1</v>
      </c>
      <c r="AG15" s="238">
        <v>4</v>
      </c>
      <c r="AH15" s="221"/>
      <c r="AI15" s="221">
        <v>5</v>
      </c>
      <c r="AJ15" s="221">
        <v>5</v>
      </c>
      <c r="AK15" s="221"/>
      <c r="AL15" s="238">
        <v>74.5</v>
      </c>
      <c r="AM15" s="243">
        <v>6</v>
      </c>
      <c r="AN15" s="218"/>
      <c r="AO15" s="243">
        <v>6</v>
      </c>
      <c r="AP15" s="196"/>
      <c r="AQ15" s="196"/>
      <c r="AR15" s="196"/>
      <c r="AS15" s="196"/>
      <c r="AT15" s="196"/>
      <c r="AU15" s="197" t="e">
        <v>#DIV/0!</v>
      </c>
      <c r="AV15" s="196"/>
      <c r="AW15" s="196"/>
      <c r="AX15" s="196"/>
      <c r="AY15" s="196"/>
      <c r="BA15" s="199" t="e">
        <v>#DIV/0!</v>
      </c>
      <c r="BB15" s="200">
        <v>12</v>
      </c>
      <c r="BC15" s="200">
        <v>0</v>
      </c>
      <c r="BD15" s="196"/>
      <c r="BE15" s="196"/>
      <c r="BF15" s="196"/>
      <c r="BG15" s="196"/>
      <c r="BI15" s="199" t="e">
        <v>#DIV/0!</v>
      </c>
      <c r="BJ15" s="196"/>
      <c r="BK15" s="196"/>
      <c r="BL15" s="196"/>
      <c r="BM15" s="196"/>
      <c r="BN15" s="196"/>
      <c r="BO15" s="199" t="e">
        <v>#DIV/0!</v>
      </c>
      <c r="BP15" s="200">
        <v>11</v>
      </c>
      <c r="BQ15" s="200">
        <v>0</v>
      </c>
    </row>
    <row r="16" spans="1:69">
      <c r="A16" s="218" t="s">
        <v>734</v>
      </c>
      <c r="B16" s="218" t="s">
        <v>715</v>
      </c>
      <c r="C16" s="219" t="s">
        <v>678</v>
      </c>
      <c r="D16" s="219">
        <v>4</v>
      </c>
      <c r="E16" s="220">
        <v>0.54791666666666605</v>
      </c>
      <c r="F16" s="220">
        <v>0.57667824074074081</v>
      </c>
      <c r="G16" s="220">
        <v>0.65498842592592588</v>
      </c>
      <c r="H16" s="208">
        <v>2.8761574074074758E-2</v>
      </c>
      <c r="I16" s="208">
        <v>7.9398148148155379E-3</v>
      </c>
      <c r="J16" s="208">
        <v>0.10707175925925982</v>
      </c>
      <c r="K16" s="220">
        <v>0.13194444444444445</v>
      </c>
      <c r="L16" s="220"/>
      <c r="M16" s="220"/>
      <c r="N16" s="220"/>
      <c r="O16" s="208">
        <v>0</v>
      </c>
      <c r="P16" s="208">
        <v>0</v>
      </c>
      <c r="Q16" s="208">
        <v>0</v>
      </c>
      <c r="R16" s="220">
        <v>0.15972222222222224</v>
      </c>
      <c r="S16" s="221">
        <v>0.6</v>
      </c>
      <c r="T16" s="221"/>
      <c r="U16" s="221">
        <v>2</v>
      </c>
      <c r="V16" s="221"/>
      <c r="W16" s="238">
        <v>14.3</v>
      </c>
      <c r="X16" s="238">
        <v>20</v>
      </c>
      <c r="Y16" s="238">
        <v>5</v>
      </c>
      <c r="Z16" s="238">
        <v>5</v>
      </c>
      <c r="AA16" s="221">
        <v>3.6</v>
      </c>
      <c r="AB16" s="221">
        <v>2.9</v>
      </c>
      <c r="AC16" s="221">
        <v>2.6</v>
      </c>
      <c r="AD16" s="221">
        <v>1.8</v>
      </c>
      <c r="AE16" s="221">
        <v>2</v>
      </c>
      <c r="AF16" s="238">
        <v>0.6</v>
      </c>
      <c r="AG16" s="238">
        <v>2</v>
      </c>
      <c r="AH16" s="221"/>
      <c r="AI16" s="221">
        <v>5</v>
      </c>
      <c r="AJ16" s="221">
        <v>5</v>
      </c>
      <c r="AK16" s="221"/>
      <c r="AL16" s="238">
        <v>69.8</v>
      </c>
      <c r="AM16" s="243">
        <v>11</v>
      </c>
      <c r="AN16" s="218"/>
      <c r="AO16" s="243">
        <v>7</v>
      </c>
      <c r="AP16" s="196"/>
      <c r="AQ16" s="196"/>
      <c r="AR16" s="196"/>
      <c r="AS16" s="196"/>
      <c r="AT16" s="196"/>
      <c r="AU16" s="197" t="e">
        <v>#DIV/0!</v>
      </c>
      <c r="AV16" s="196">
        <v>12.65</v>
      </c>
      <c r="AW16" s="196">
        <v>12.75</v>
      </c>
      <c r="AX16" s="196">
        <v>12.3</v>
      </c>
      <c r="AY16" s="196">
        <v>12.6</v>
      </c>
      <c r="BA16" s="199">
        <v>12.575000000000001</v>
      </c>
      <c r="BB16" s="200">
        <v>12</v>
      </c>
      <c r="BC16" s="200">
        <v>0</v>
      </c>
      <c r="BD16" s="196"/>
      <c r="BE16" s="196"/>
      <c r="BF16" s="196"/>
      <c r="BG16" s="196"/>
      <c r="BI16" s="199" t="e">
        <v>#DIV/0!</v>
      </c>
      <c r="BJ16" s="196"/>
      <c r="BK16" s="196"/>
      <c r="BL16" s="196"/>
      <c r="BM16" s="196"/>
      <c r="BN16" s="196"/>
      <c r="BO16" s="199" t="e">
        <v>#DIV/0!</v>
      </c>
      <c r="BP16" s="200">
        <v>11</v>
      </c>
      <c r="BQ16" s="200">
        <v>0</v>
      </c>
    </row>
    <row r="17" spans="1:69">
      <c r="A17" s="218" t="s">
        <v>734</v>
      </c>
      <c r="B17" s="218" t="s">
        <v>709</v>
      </c>
      <c r="C17" s="219" t="s">
        <v>668</v>
      </c>
      <c r="D17" s="219">
        <v>3</v>
      </c>
      <c r="E17" s="220">
        <v>0.54166666666666696</v>
      </c>
      <c r="F17" s="220">
        <v>0.57060185185185186</v>
      </c>
      <c r="G17" s="220">
        <v>0.66342592592592597</v>
      </c>
      <c r="H17" s="208">
        <v>2.8935185185184897E-2</v>
      </c>
      <c r="I17" s="208">
        <v>8.1134259259256769E-3</v>
      </c>
      <c r="J17" s="208">
        <v>0.12175925925925901</v>
      </c>
      <c r="K17" s="220">
        <v>0.13194444444444445</v>
      </c>
      <c r="L17" s="220"/>
      <c r="M17" s="220"/>
      <c r="N17" s="220"/>
      <c r="O17" s="208">
        <v>0</v>
      </c>
      <c r="P17" s="208">
        <v>0</v>
      </c>
      <c r="Q17" s="208">
        <v>0</v>
      </c>
      <c r="R17" s="220">
        <v>0.15972222222222224</v>
      </c>
      <c r="S17" s="221">
        <v>0.6</v>
      </c>
      <c r="T17" s="221"/>
      <c r="U17" s="221">
        <v>5</v>
      </c>
      <c r="V17" s="221"/>
      <c r="W17" s="238">
        <v>14.2</v>
      </c>
      <c r="X17" s="238">
        <v>20</v>
      </c>
      <c r="Y17" s="238">
        <v>5</v>
      </c>
      <c r="Z17" s="238">
        <v>5</v>
      </c>
      <c r="AA17" s="221">
        <v>2.6</v>
      </c>
      <c r="AB17" s="221">
        <v>3</v>
      </c>
      <c r="AC17" s="221">
        <v>3.2</v>
      </c>
      <c r="AD17" s="221">
        <v>2.2999999999999998</v>
      </c>
      <c r="AE17" s="221">
        <v>1.8</v>
      </c>
      <c r="AF17" s="238">
        <v>0.6</v>
      </c>
      <c r="AG17" s="238">
        <v>5</v>
      </c>
      <c r="AH17" s="221"/>
      <c r="AI17" s="221">
        <v>5</v>
      </c>
      <c r="AJ17" s="221">
        <v>4.5</v>
      </c>
      <c r="AK17" s="221"/>
      <c r="AL17" s="238">
        <v>72.2</v>
      </c>
      <c r="AM17" s="243">
        <v>8</v>
      </c>
      <c r="AN17" s="218"/>
      <c r="AO17" s="243">
        <v>8</v>
      </c>
      <c r="AP17" s="196"/>
      <c r="AQ17" s="196"/>
      <c r="AR17" s="196"/>
      <c r="AS17" s="196"/>
      <c r="AT17" s="196"/>
      <c r="AU17" s="197" t="e">
        <v>#DIV/0!</v>
      </c>
      <c r="AV17" s="196">
        <v>15.25</v>
      </c>
      <c r="AW17" s="196">
        <v>15.05</v>
      </c>
      <c r="AX17" s="196">
        <v>14.1</v>
      </c>
      <c r="AY17" s="196">
        <v>15.8</v>
      </c>
      <c r="AZ17" s="196"/>
      <c r="BA17" s="199">
        <v>15.05</v>
      </c>
      <c r="BB17" s="200">
        <v>12</v>
      </c>
      <c r="BC17" s="200">
        <v>0</v>
      </c>
      <c r="BD17" s="196"/>
      <c r="BE17" s="196"/>
      <c r="BF17" s="196"/>
      <c r="BG17" s="196"/>
      <c r="BI17" s="199" t="e">
        <v>#DIV/0!</v>
      </c>
      <c r="BJ17" s="196"/>
      <c r="BK17" s="196"/>
      <c r="BL17" s="196"/>
      <c r="BM17" s="196"/>
      <c r="BN17" s="196"/>
      <c r="BO17" s="199" t="e">
        <v>#DIV/0!</v>
      </c>
      <c r="BP17" s="200">
        <v>11</v>
      </c>
      <c r="BQ17" s="200">
        <v>0</v>
      </c>
    </row>
    <row r="18" spans="1:69">
      <c r="A18" s="218" t="s">
        <v>734</v>
      </c>
      <c r="B18" s="218" t="s">
        <v>711</v>
      </c>
      <c r="C18" s="219" t="s">
        <v>669</v>
      </c>
      <c r="D18" s="219">
        <v>4</v>
      </c>
      <c r="E18" s="220">
        <v>0.54236111111111096</v>
      </c>
      <c r="F18" s="220">
        <v>0.57225694444444442</v>
      </c>
      <c r="G18" s="220">
        <v>0.66114583333333332</v>
      </c>
      <c r="H18" s="208">
        <v>2.9895833333333455E-2</v>
      </c>
      <c r="I18" s="208">
        <v>9.0740740740742343E-3</v>
      </c>
      <c r="J18" s="208">
        <v>0.11878472222222236</v>
      </c>
      <c r="K18" s="220">
        <v>0.13194444444444445</v>
      </c>
      <c r="L18" s="220"/>
      <c r="M18" s="220"/>
      <c r="N18" s="220"/>
      <c r="O18" s="208">
        <v>0</v>
      </c>
      <c r="P18" s="208">
        <v>0</v>
      </c>
      <c r="Q18" s="208">
        <v>0</v>
      </c>
      <c r="R18" s="220">
        <v>0.15972222222222224</v>
      </c>
      <c r="S18" s="221">
        <v>0.8</v>
      </c>
      <c r="T18" s="221"/>
      <c r="U18" s="221">
        <v>5</v>
      </c>
      <c r="V18" s="221"/>
      <c r="W18" s="238">
        <v>13.5</v>
      </c>
      <c r="X18" s="238">
        <v>20</v>
      </c>
      <c r="Y18" s="238">
        <v>5</v>
      </c>
      <c r="Z18" s="238">
        <v>5</v>
      </c>
      <c r="AA18" s="221">
        <v>3.4</v>
      </c>
      <c r="AB18" s="221">
        <v>3.6</v>
      </c>
      <c r="AC18" s="221">
        <v>3.5</v>
      </c>
      <c r="AD18" s="221">
        <v>3.6</v>
      </c>
      <c r="AE18" s="221">
        <v>2</v>
      </c>
      <c r="AF18" s="238">
        <v>0.8</v>
      </c>
      <c r="AG18" s="238">
        <v>5</v>
      </c>
      <c r="AH18" s="221"/>
      <c r="AI18" s="221">
        <v>5</v>
      </c>
      <c r="AJ18" s="221">
        <v>5</v>
      </c>
      <c r="AK18" s="221"/>
      <c r="AL18" s="238">
        <v>75.400000000000006</v>
      </c>
      <c r="AM18" s="243">
        <v>5</v>
      </c>
      <c r="AN18" s="218"/>
      <c r="AO18" s="243">
        <v>9</v>
      </c>
      <c r="AP18" s="196"/>
      <c r="AQ18" s="196"/>
      <c r="AR18" s="196"/>
      <c r="AS18" s="196"/>
      <c r="AT18" s="196"/>
      <c r="AU18" s="197" t="e">
        <v>#DIV/0!</v>
      </c>
      <c r="AV18" s="196">
        <v>15.8</v>
      </c>
      <c r="AW18" s="196">
        <v>13.45</v>
      </c>
      <c r="AX18" s="196">
        <v>14.1</v>
      </c>
      <c r="AY18" s="196">
        <v>14.9</v>
      </c>
      <c r="AZ18" s="196">
        <v>13.15</v>
      </c>
      <c r="BA18" s="199">
        <v>14.280000000000001</v>
      </c>
      <c r="BB18" s="200">
        <v>12</v>
      </c>
      <c r="BC18" s="200">
        <v>0</v>
      </c>
      <c r="BD18" s="196"/>
      <c r="BE18" s="196"/>
      <c r="BF18" s="196"/>
      <c r="BG18" s="196"/>
      <c r="BI18" s="199" t="e">
        <v>#DIV/0!</v>
      </c>
      <c r="BJ18" s="196"/>
      <c r="BK18" s="196"/>
      <c r="BL18" s="196"/>
      <c r="BM18" s="196"/>
      <c r="BN18" s="196"/>
      <c r="BO18" s="199" t="e">
        <v>#DIV/0!</v>
      </c>
      <c r="BP18" s="200">
        <v>11</v>
      </c>
      <c r="BQ18" s="200">
        <v>0</v>
      </c>
    </row>
    <row r="19" spans="1:69">
      <c r="A19" s="218" t="s">
        <v>734</v>
      </c>
      <c r="B19" s="218" t="s">
        <v>718</v>
      </c>
      <c r="C19" s="219" t="s">
        <v>722</v>
      </c>
      <c r="D19" s="219">
        <v>5</v>
      </c>
      <c r="E19" s="220">
        <v>0.54999999999999905</v>
      </c>
      <c r="F19" s="220">
        <v>0.5803356481481482</v>
      </c>
      <c r="G19" s="220">
        <v>0.67064814814814822</v>
      </c>
      <c r="H19" s="208">
        <v>3.0335648148149152E-2</v>
      </c>
      <c r="I19" s="208">
        <v>9.513888888889932E-3</v>
      </c>
      <c r="J19" s="208">
        <v>0.12064814814814917</v>
      </c>
      <c r="K19" s="220">
        <v>0.13194444444444445</v>
      </c>
      <c r="L19" s="220"/>
      <c r="M19" s="220"/>
      <c r="N19" s="220"/>
      <c r="O19" s="208">
        <v>0</v>
      </c>
      <c r="P19" s="208">
        <v>0</v>
      </c>
      <c r="Q19" s="208">
        <v>0</v>
      </c>
      <c r="R19" s="220">
        <v>0.15972222222222224</v>
      </c>
      <c r="S19" s="221">
        <v>0.8</v>
      </c>
      <c r="T19" s="221"/>
      <c r="U19" s="221">
        <v>4</v>
      </c>
      <c r="V19" s="221"/>
      <c r="W19" s="238">
        <v>13.1</v>
      </c>
      <c r="X19" s="238">
        <v>20</v>
      </c>
      <c r="Y19" s="238">
        <v>5</v>
      </c>
      <c r="Z19" s="238">
        <v>5</v>
      </c>
      <c r="AA19" s="221">
        <v>2.5</v>
      </c>
      <c r="AB19" s="221">
        <v>3.2</v>
      </c>
      <c r="AC19" s="221">
        <v>3.7</v>
      </c>
      <c r="AD19" s="221">
        <v>2.8</v>
      </c>
      <c r="AE19" s="221">
        <v>1.8</v>
      </c>
      <c r="AF19" s="238">
        <v>0.8</v>
      </c>
      <c r="AG19" s="238">
        <v>4</v>
      </c>
      <c r="AH19" s="221"/>
      <c r="AI19" s="221">
        <v>4</v>
      </c>
      <c r="AJ19" s="221">
        <v>5</v>
      </c>
      <c r="AK19" s="221"/>
      <c r="AL19" s="238">
        <v>70.900000000000006</v>
      </c>
      <c r="AM19" s="243">
        <v>9</v>
      </c>
      <c r="AN19" s="218"/>
      <c r="AO19" s="243">
        <v>10</v>
      </c>
      <c r="AP19" s="196"/>
      <c r="AQ19" s="196"/>
      <c r="AR19" s="196"/>
      <c r="AS19" s="196"/>
      <c r="AT19" s="196"/>
      <c r="AU19" s="197" t="e">
        <v>#DIV/0!</v>
      </c>
      <c r="AV19" s="196">
        <v>13.3</v>
      </c>
      <c r="AW19" s="196">
        <v>11.2</v>
      </c>
      <c r="AX19" s="196">
        <v>12.85</v>
      </c>
      <c r="AY19" s="196">
        <v>13</v>
      </c>
      <c r="AZ19" s="198">
        <v>10.65</v>
      </c>
      <c r="BA19" s="199">
        <v>12.2</v>
      </c>
      <c r="BB19" s="200">
        <v>12</v>
      </c>
      <c r="BC19" s="200">
        <v>0</v>
      </c>
      <c r="BD19" s="196"/>
      <c r="BE19" s="196"/>
      <c r="BF19" s="196"/>
      <c r="BG19" s="196"/>
      <c r="BI19" s="199" t="e">
        <v>#DIV/0!</v>
      </c>
      <c r="BJ19" s="196"/>
      <c r="BK19" s="196"/>
      <c r="BL19" s="196"/>
      <c r="BM19" s="196"/>
      <c r="BN19" s="196"/>
      <c r="BO19" s="199" t="e">
        <v>#DIV/0!</v>
      </c>
      <c r="BP19" s="200">
        <v>11</v>
      </c>
      <c r="BQ19" s="200">
        <v>0</v>
      </c>
    </row>
    <row r="20" spans="1:69">
      <c r="A20" s="218" t="s">
        <v>734</v>
      </c>
      <c r="B20" s="218" t="s">
        <v>707</v>
      </c>
      <c r="C20" s="219" t="s">
        <v>666</v>
      </c>
      <c r="D20" s="219">
        <v>5</v>
      </c>
      <c r="E20" s="220">
        <v>0.54027777777777775</v>
      </c>
      <c r="F20" s="220">
        <v>0.57229166666666664</v>
      </c>
      <c r="G20" s="220">
        <v>0.66374999999999995</v>
      </c>
      <c r="H20" s="208">
        <v>3.2013888888888897E-2</v>
      </c>
      <c r="I20" s="208">
        <v>1.1192129629629677E-2</v>
      </c>
      <c r="J20" s="208">
        <v>0.12347222222222221</v>
      </c>
      <c r="K20" s="220">
        <v>0.13194444444444445</v>
      </c>
      <c r="L20" s="220"/>
      <c r="M20" s="220"/>
      <c r="N20" s="220"/>
      <c r="O20" s="208">
        <v>0</v>
      </c>
      <c r="P20" s="208">
        <v>0</v>
      </c>
      <c r="Q20" s="208">
        <v>0</v>
      </c>
      <c r="R20" s="220">
        <v>0.15972222222222224</v>
      </c>
      <c r="S20" s="221">
        <v>0.6</v>
      </c>
      <c r="T20" s="221"/>
      <c r="U20" s="221">
        <v>2</v>
      </c>
      <c r="V20" s="221"/>
      <c r="W20" s="238">
        <v>11.9</v>
      </c>
      <c r="X20" s="238">
        <v>20</v>
      </c>
      <c r="Y20" s="238">
        <v>5</v>
      </c>
      <c r="Z20" s="238">
        <v>5</v>
      </c>
      <c r="AA20" s="221">
        <v>1.8</v>
      </c>
      <c r="AB20" s="221">
        <v>2.7</v>
      </c>
      <c r="AC20" s="221">
        <v>1.9</v>
      </c>
      <c r="AD20" s="221">
        <v>1.7</v>
      </c>
      <c r="AE20" s="221">
        <v>0.8</v>
      </c>
      <c r="AF20" s="238">
        <v>0.6</v>
      </c>
      <c r="AG20" s="238">
        <v>2</v>
      </c>
      <c r="AH20" s="221"/>
      <c r="AI20" s="221">
        <v>5</v>
      </c>
      <c r="AJ20" s="221">
        <v>3.5</v>
      </c>
      <c r="AK20" s="221"/>
      <c r="AL20" s="238">
        <v>61.9</v>
      </c>
      <c r="AM20" s="243">
        <v>13</v>
      </c>
      <c r="AN20" s="218"/>
      <c r="AO20" s="243">
        <v>11</v>
      </c>
      <c r="AP20" s="196"/>
      <c r="AQ20" s="196"/>
      <c r="AR20" s="196"/>
      <c r="AS20" s="196"/>
      <c r="AT20" s="196"/>
      <c r="AU20" s="197" t="e">
        <v>#DIV/0!</v>
      </c>
      <c r="AV20" s="196">
        <v>11.15</v>
      </c>
      <c r="AW20" s="196">
        <v>12.35</v>
      </c>
      <c r="AX20" s="196">
        <v>14</v>
      </c>
      <c r="AY20" s="196">
        <v>11.95</v>
      </c>
      <c r="BA20" s="199">
        <v>12.362500000000001</v>
      </c>
      <c r="BB20" s="200">
        <v>12</v>
      </c>
      <c r="BC20" s="200">
        <v>0</v>
      </c>
      <c r="BD20" s="196"/>
      <c r="BE20" s="196"/>
      <c r="BF20" s="196"/>
      <c r="BG20" s="196"/>
      <c r="BI20" s="199" t="e">
        <v>#DIV/0!</v>
      </c>
      <c r="BJ20" s="196"/>
      <c r="BK20" s="196"/>
      <c r="BL20" s="196"/>
      <c r="BM20" s="196"/>
      <c r="BN20" s="196"/>
      <c r="BO20" s="199" t="e">
        <v>#DIV/0!</v>
      </c>
      <c r="BP20" s="200">
        <v>11</v>
      </c>
      <c r="BQ20" s="200">
        <v>0</v>
      </c>
    </row>
    <row r="21" spans="1:69">
      <c r="A21" s="218" t="s">
        <v>734</v>
      </c>
      <c r="B21" s="218" t="s">
        <v>714</v>
      </c>
      <c r="C21" s="219" t="s">
        <v>673</v>
      </c>
      <c r="D21" s="219">
        <v>4</v>
      </c>
      <c r="E21" s="220">
        <v>0.5444444444444444</v>
      </c>
      <c r="F21" s="220">
        <v>0.57707175925925924</v>
      </c>
      <c r="G21" s="220">
        <v>0.65833333333333333</v>
      </c>
      <c r="H21" s="208">
        <v>3.2627314814814845E-2</v>
      </c>
      <c r="I21" s="208">
        <v>1.1805555555555625E-2</v>
      </c>
      <c r="J21" s="208">
        <v>0.11388888888888893</v>
      </c>
      <c r="K21" s="220">
        <v>0.13194444444444445</v>
      </c>
      <c r="L21" s="220"/>
      <c r="M21" s="220"/>
      <c r="N21" s="220"/>
      <c r="O21" s="208">
        <v>0</v>
      </c>
      <c r="P21" s="208">
        <v>0</v>
      </c>
      <c r="Q21" s="208">
        <v>0</v>
      </c>
      <c r="R21" s="220">
        <v>0.15972222222222224</v>
      </c>
      <c r="S21" s="221">
        <v>0.6</v>
      </c>
      <c r="T21" s="221"/>
      <c r="U21" s="221">
        <v>6</v>
      </c>
      <c r="V21" s="221"/>
      <c r="W21" s="238">
        <v>11.5</v>
      </c>
      <c r="X21" s="238">
        <v>20</v>
      </c>
      <c r="Y21" s="238">
        <v>5</v>
      </c>
      <c r="Z21" s="238">
        <v>5</v>
      </c>
      <c r="AA21" s="221">
        <v>2.2999999999999998</v>
      </c>
      <c r="AB21" s="221">
        <v>2.8</v>
      </c>
      <c r="AC21" s="221">
        <v>3.4</v>
      </c>
      <c r="AD21" s="221">
        <v>2.5</v>
      </c>
      <c r="AE21" s="221">
        <v>1</v>
      </c>
      <c r="AF21" s="238">
        <v>0.6</v>
      </c>
      <c r="AG21" s="238">
        <v>6</v>
      </c>
      <c r="AH21" s="221"/>
      <c r="AI21" s="221">
        <v>5</v>
      </c>
      <c r="AJ21" s="221">
        <v>5</v>
      </c>
      <c r="AK21" s="221"/>
      <c r="AL21" s="238">
        <v>70.099999999999994</v>
      </c>
      <c r="AM21" s="243">
        <v>10</v>
      </c>
      <c r="AN21" s="218"/>
      <c r="AO21" s="243">
        <v>12</v>
      </c>
      <c r="AP21" s="196"/>
      <c r="AQ21" s="196"/>
      <c r="AR21" s="196"/>
      <c r="AS21" s="196"/>
      <c r="AT21" s="196"/>
      <c r="AU21" s="197" t="e">
        <v>#DIV/0!</v>
      </c>
      <c r="AV21" s="196">
        <v>14.05</v>
      </c>
      <c r="AW21" s="196">
        <v>14.65</v>
      </c>
      <c r="AX21" s="196">
        <v>14.8</v>
      </c>
      <c r="AY21" s="196">
        <v>9.1</v>
      </c>
      <c r="BA21" s="199">
        <v>13.15</v>
      </c>
      <c r="BB21" s="200">
        <v>12</v>
      </c>
      <c r="BC21" s="200">
        <v>0</v>
      </c>
      <c r="BD21" s="196"/>
      <c r="BE21" s="196"/>
      <c r="BF21" s="196"/>
      <c r="BG21" s="196"/>
      <c r="BI21" s="199" t="e">
        <v>#DIV/0!</v>
      </c>
      <c r="BJ21" s="196"/>
      <c r="BK21" s="196"/>
      <c r="BL21" s="196"/>
      <c r="BM21" s="196"/>
      <c r="BN21" s="196"/>
      <c r="BO21" s="199" t="e">
        <v>#DIV/0!</v>
      </c>
      <c r="BP21" s="200">
        <v>11</v>
      </c>
      <c r="BQ21" s="200">
        <v>0</v>
      </c>
    </row>
    <row r="22" spans="1:69">
      <c r="A22" s="218" t="s">
        <v>734</v>
      </c>
      <c r="B22" s="218" t="s">
        <v>717</v>
      </c>
      <c r="C22" s="219" t="s">
        <v>677</v>
      </c>
      <c r="D22" s="219">
        <v>4</v>
      </c>
      <c r="E22" s="220">
        <v>0.54722222222222205</v>
      </c>
      <c r="F22" s="220">
        <v>0.57998842592592592</v>
      </c>
      <c r="G22" s="220">
        <v>0.67513888888888884</v>
      </c>
      <c r="H22" s="208">
        <v>3.2766203703703867E-2</v>
      </c>
      <c r="I22" s="208">
        <v>1.1944444444444646E-2</v>
      </c>
      <c r="J22" s="208">
        <v>0.12791666666666679</v>
      </c>
      <c r="K22" s="220">
        <v>0.13194444444444445</v>
      </c>
      <c r="L22" s="220"/>
      <c r="M22" s="220"/>
      <c r="N22" s="220"/>
      <c r="O22" s="208">
        <v>0</v>
      </c>
      <c r="P22" s="208">
        <v>0</v>
      </c>
      <c r="Q22" s="208">
        <v>0</v>
      </c>
      <c r="R22" s="220">
        <v>0.15972222222222224</v>
      </c>
      <c r="S22" s="221">
        <v>0.4</v>
      </c>
      <c r="T22" s="221"/>
      <c r="U22" s="221">
        <v>0</v>
      </c>
      <c r="V22" s="221"/>
      <c r="W22" s="238">
        <v>11.4</v>
      </c>
      <c r="X22" s="238">
        <v>20</v>
      </c>
      <c r="Y22" s="238">
        <v>5</v>
      </c>
      <c r="Z22" s="238">
        <v>5</v>
      </c>
      <c r="AA22" s="221">
        <v>1.5</v>
      </c>
      <c r="AB22" s="221">
        <v>3.6</v>
      </c>
      <c r="AC22" s="221">
        <v>3.2</v>
      </c>
      <c r="AD22" s="221">
        <v>2.2999999999999998</v>
      </c>
      <c r="AE22" s="221">
        <v>1.8</v>
      </c>
      <c r="AF22" s="238">
        <v>0.4</v>
      </c>
      <c r="AG22" s="238">
        <v>0</v>
      </c>
      <c r="AH22" s="221"/>
      <c r="AI22" s="221">
        <v>3.8</v>
      </c>
      <c r="AJ22" s="221">
        <v>4</v>
      </c>
      <c r="AK22" s="221"/>
      <c r="AL22" s="238">
        <v>61.999999999999993</v>
      </c>
      <c r="AM22" s="243">
        <v>12</v>
      </c>
      <c r="AN22" s="218"/>
      <c r="AO22" s="243">
        <v>13</v>
      </c>
      <c r="AP22" s="196"/>
      <c r="AQ22" s="196"/>
      <c r="AR22" s="196"/>
      <c r="AS22" s="196"/>
      <c r="AT22" s="196"/>
      <c r="AU22" s="197" t="e">
        <v>#DIV/0!</v>
      </c>
      <c r="AV22" s="196">
        <v>13</v>
      </c>
      <c r="AW22" s="196">
        <v>13</v>
      </c>
      <c r="AX22" s="196">
        <v>12.65</v>
      </c>
      <c r="AY22" s="196">
        <v>13.5</v>
      </c>
      <c r="AZ22" s="196"/>
      <c r="BA22" s="199">
        <v>13.0375</v>
      </c>
      <c r="BB22" s="200">
        <v>12</v>
      </c>
      <c r="BC22" s="200">
        <v>0</v>
      </c>
      <c r="BD22" s="196"/>
      <c r="BE22" s="196"/>
      <c r="BF22" s="196"/>
      <c r="BG22" s="196"/>
      <c r="BI22" s="199" t="e">
        <v>#DIV/0!</v>
      </c>
      <c r="BJ22" s="196"/>
      <c r="BK22" s="196"/>
      <c r="BL22" s="196"/>
      <c r="BM22" s="196"/>
      <c r="BN22" s="196"/>
      <c r="BO22" s="199" t="e">
        <v>#DIV/0!</v>
      </c>
      <c r="BP22" s="200">
        <v>11</v>
      </c>
      <c r="BQ22" s="200">
        <v>0</v>
      </c>
    </row>
    <row r="23" spans="1:69">
      <c r="A23" s="218" t="s">
        <v>734</v>
      </c>
      <c r="B23" s="218" t="s">
        <v>140</v>
      </c>
      <c r="C23" s="219" t="s">
        <v>670</v>
      </c>
      <c r="D23" s="219">
        <v>3</v>
      </c>
      <c r="E23" s="220">
        <v>0.54305555555555551</v>
      </c>
      <c r="F23" s="220">
        <v>0.57598379629629626</v>
      </c>
      <c r="G23" s="220">
        <v>0.67173611111111109</v>
      </c>
      <c r="H23" s="208">
        <v>3.2928240740740744E-2</v>
      </c>
      <c r="I23" s="208">
        <v>1.2106481481481524E-2</v>
      </c>
      <c r="J23" s="208">
        <v>0.12868055555555558</v>
      </c>
      <c r="K23" s="220">
        <v>0.13194444444444445</v>
      </c>
      <c r="L23" s="220"/>
      <c r="M23" s="220"/>
      <c r="N23" s="220"/>
      <c r="O23" s="208">
        <v>0</v>
      </c>
      <c r="P23" s="208">
        <v>0</v>
      </c>
      <c r="Q23" s="208">
        <v>0</v>
      </c>
      <c r="R23" s="220">
        <v>0.15972222222222224</v>
      </c>
      <c r="S23" s="221">
        <v>0.6</v>
      </c>
      <c r="T23" s="221"/>
      <c r="U23" s="221">
        <v>2</v>
      </c>
      <c r="V23" s="221"/>
      <c r="W23" s="238">
        <v>11.3</v>
      </c>
      <c r="X23" s="238">
        <v>20</v>
      </c>
      <c r="Y23" s="238">
        <v>5</v>
      </c>
      <c r="Z23" s="238">
        <v>5</v>
      </c>
      <c r="AA23" s="221">
        <v>0.9</v>
      </c>
      <c r="AB23" s="221">
        <v>2</v>
      </c>
      <c r="AC23" s="221">
        <v>1.7</v>
      </c>
      <c r="AD23" s="221">
        <v>1</v>
      </c>
      <c r="AE23" s="221">
        <v>0.8</v>
      </c>
      <c r="AF23" s="238">
        <v>0.6</v>
      </c>
      <c r="AG23" s="238">
        <v>2</v>
      </c>
      <c r="AH23" s="221"/>
      <c r="AI23" s="221">
        <v>5</v>
      </c>
      <c r="AJ23" s="221">
        <v>4.5</v>
      </c>
      <c r="AK23" s="221"/>
      <c r="AL23" s="238">
        <v>59.8</v>
      </c>
      <c r="AM23" s="243">
        <v>14</v>
      </c>
      <c r="AN23" s="218"/>
      <c r="AO23" s="243">
        <v>14</v>
      </c>
      <c r="AP23" s="196"/>
      <c r="AQ23" s="196"/>
      <c r="AR23" s="196"/>
      <c r="AS23" s="196"/>
      <c r="AT23" s="196"/>
      <c r="AU23" s="197" t="e">
        <v>#DIV/0!</v>
      </c>
      <c r="AV23" s="196">
        <v>13.1</v>
      </c>
      <c r="AW23" s="196">
        <v>12.9</v>
      </c>
      <c r="AX23" s="196">
        <v>9.85</v>
      </c>
      <c r="AY23" s="196">
        <v>13.8</v>
      </c>
      <c r="AZ23" s="198">
        <v>11.05</v>
      </c>
      <c r="BA23" s="199">
        <v>12.14</v>
      </c>
      <c r="BB23" s="200">
        <v>12</v>
      </c>
      <c r="BC23" s="200">
        <v>0</v>
      </c>
      <c r="BD23" s="196"/>
      <c r="BE23" s="196"/>
      <c r="BF23" s="196"/>
      <c r="BG23" s="196"/>
      <c r="BI23" s="199" t="e">
        <v>#DIV/0!</v>
      </c>
      <c r="BJ23" s="196"/>
      <c r="BK23" s="196"/>
      <c r="BL23" s="196"/>
      <c r="BM23" s="196"/>
      <c r="BN23" s="196"/>
      <c r="BO23" s="199" t="e">
        <v>#DIV/0!</v>
      </c>
      <c r="BP23" s="200">
        <v>11</v>
      </c>
      <c r="BQ23" s="200">
        <v>0</v>
      </c>
    </row>
    <row r="24" spans="1:69">
      <c r="A24" s="218" t="s">
        <v>734</v>
      </c>
      <c r="B24" s="218" t="s">
        <v>748</v>
      </c>
      <c r="C24" s="219" t="s">
        <v>680</v>
      </c>
      <c r="D24" s="219">
        <v>3</v>
      </c>
      <c r="E24" s="220">
        <v>0.54930555555555505</v>
      </c>
      <c r="F24" s="220">
        <v>0.58310185185185182</v>
      </c>
      <c r="G24" s="220">
        <v>0.6685416666666667</v>
      </c>
      <c r="H24" s="208">
        <v>3.3796296296296768E-2</v>
      </c>
      <c r="I24" s="208">
        <v>1.2974537037037548E-2</v>
      </c>
      <c r="J24" s="208">
        <v>0.11923611111111165</v>
      </c>
      <c r="K24" s="220">
        <v>0.13194444444444445</v>
      </c>
      <c r="L24" s="220"/>
      <c r="M24" s="220"/>
      <c r="N24" s="220"/>
      <c r="O24" s="208">
        <v>0</v>
      </c>
      <c r="P24" s="208">
        <v>0</v>
      </c>
      <c r="Q24" s="208">
        <v>0</v>
      </c>
      <c r="R24" s="220">
        <v>0.15972222222222224</v>
      </c>
      <c r="S24" s="221">
        <v>0.4</v>
      </c>
      <c r="T24" s="221"/>
      <c r="U24" s="221">
        <v>1</v>
      </c>
      <c r="V24" s="221"/>
      <c r="W24" s="238">
        <v>10.7</v>
      </c>
      <c r="X24" s="238">
        <v>20</v>
      </c>
      <c r="Y24" s="238">
        <v>5</v>
      </c>
      <c r="Z24" s="238">
        <v>5</v>
      </c>
      <c r="AA24" s="221">
        <v>0.6</v>
      </c>
      <c r="AB24" s="221">
        <v>3.4</v>
      </c>
      <c r="AC24" s="221">
        <v>2.1</v>
      </c>
      <c r="AD24" s="221">
        <v>0</v>
      </c>
      <c r="AE24" s="221">
        <v>1.4</v>
      </c>
      <c r="AF24" s="238">
        <v>0.4</v>
      </c>
      <c r="AG24" s="238">
        <v>1</v>
      </c>
      <c r="AH24" s="221"/>
      <c r="AI24" s="221">
        <v>5</v>
      </c>
      <c r="AJ24" s="221">
        <v>4</v>
      </c>
      <c r="AK24" s="221"/>
      <c r="AL24" s="238">
        <v>58.6</v>
      </c>
      <c r="AM24" s="243">
        <v>15</v>
      </c>
      <c r="AN24" s="218"/>
      <c r="AO24" s="243">
        <v>15</v>
      </c>
      <c r="AP24" s="196"/>
      <c r="AQ24" s="196"/>
      <c r="AR24" s="196"/>
      <c r="AS24" s="196"/>
      <c r="AT24" s="196"/>
      <c r="AU24" s="197" t="e">
        <v>#DIV/0!</v>
      </c>
      <c r="AV24" s="196">
        <v>13.05</v>
      </c>
      <c r="AW24" s="196">
        <v>15.75</v>
      </c>
      <c r="AX24" s="196">
        <v>15.1</v>
      </c>
      <c r="AY24" s="196"/>
      <c r="AZ24" s="196"/>
      <c r="BA24" s="199">
        <v>14.633333333333333</v>
      </c>
      <c r="BB24" s="200">
        <v>12</v>
      </c>
      <c r="BC24" s="200">
        <v>0</v>
      </c>
      <c r="BD24" s="196"/>
      <c r="BE24" s="196"/>
      <c r="BF24" s="196"/>
      <c r="BG24" s="196"/>
      <c r="BI24" s="199" t="e">
        <v>#DIV/0!</v>
      </c>
      <c r="BJ24" s="196"/>
      <c r="BK24" s="196"/>
      <c r="BL24" s="196"/>
      <c r="BM24" s="196"/>
      <c r="BN24" s="196"/>
      <c r="BO24" s="199" t="e">
        <v>#DIV/0!</v>
      </c>
      <c r="BP24" s="200">
        <v>11</v>
      </c>
      <c r="BQ24" s="200">
        <v>0</v>
      </c>
    </row>
    <row r="25" spans="1:69">
      <c r="A25" s="218" t="s">
        <v>734</v>
      </c>
      <c r="B25" s="218" t="s">
        <v>735</v>
      </c>
      <c r="C25" s="219" t="s">
        <v>674</v>
      </c>
      <c r="D25" s="219">
        <v>4</v>
      </c>
      <c r="E25" s="220">
        <v>0.54513888888888895</v>
      </c>
      <c r="F25" s="220">
        <v>0.58401620370370366</v>
      </c>
      <c r="G25" s="220">
        <v>0.66710648148148144</v>
      </c>
      <c r="H25" s="208">
        <v>3.8877314814814712E-2</v>
      </c>
      <c r="I25" s="208">
        <v>1.8055555555555491E-2</v>
      </c>
      <c r="J25" s="208">
        <v>0.12196759259259249</v>
      </c>
      <c r="K25" s="220">
        <v>0.13194444444444445</v>
      </c>
      <c r="L25" s="220"/>
      <c r="M25" s="220"/>
      <c r="N25" s="220"/>
      <c r="O25" s="208">
        <v>0</v>
      </c>
      <c r="P25" s="208">
        <v>0</v>
      </c>
      <c r="Q25" s="208">
        <v>0</v>
      </c>
      <c r="R25" s="220">
        <v>0.15972222222222224</v>
      </c>
      <c r="S25" s="221">
        <v>0.6</v>
      </c>
      <c r="T25" s="221"/>
      <c r="U25" s="221">
        <v>0</v>
      </c>
      <c r="V25" s="221"/>
      <c r="W25" s="238">
        <v>7</v>
      </c>
      <c r="X25" s="238">
        <v>20</v>
      </c>
      <c r="Y25" s="238">
        <v>5</v>
      </c>
      <c r="Z25" s="238">
        <v>5</v>
      </c>
      <c r="AA25" s="221">
        <v>1.3</v>
      </c>
      <c r="AB25" s="221">
        <v>0.9</v>
      </c>
      <c r="AC25" s="221">
        <v>2.1</v>
      </c>
      <c r="AD25" s="221">
        <v>1.3</v>
      </c>
      <c r="AE25" s="221">
        <v>1.8</v>
      </c>
      <c r="AF25" s="238">
        <v>0.6</v>
      </c>
      <c r="AG25" s="238">
        <v>0</v>
      </c>
      <c r="AH25" s="221"/>
      <c r="AI25" s="221">
        <v>4</v>
      </c>
      <c r="AJ25" s="221">
        <v>3.5</v>
      </c>
      <c r="AK25" s="221"/>
      <c r="AL25" s="238">
        <v>52.499999999999993</v>
      </c>
      <c r="AM25" s="243">
        <v>16</v>
      </c>
      <c r="AN25" s="218"/>
      <c r="AO25" s="243">
        <v>16</v>
      </c>
      <c r="AP25" s="196"/>
      <c r="AQ25" s="196"/>
      <c r="AR25" s="196"/>
      <c r="AS25" s="196"/>
      <c r="AT25" s="196"/>
      <c r="AU25" s="197" t="e">
        <v>#DIV/0!</v>
      </c>
      <c r="AV25" s="196">
        <v>13.65</v>
      </c>
      <c r="AW25" s="196">
        <v>13.25</v>
      </c>
      <c r="AX25" s="196">
        <v>13.9</v>
      </c>
      <c r="AY25" s="196">
        <v>11.45</v>
      </c>
      <c r="AZ25" s="196">
        <v>11.8</v>
      </c>
      <c r="BA25" s="199">
        <v>12.809999999999999</v>
      </c>
      <c r="BB25" s="200">
        <v>12</v>
      </c>
      <c r="BC25" s="200">
        <v>0</v>
      </c>
      <c r="BD25" s="196"/>
      <c r="BE25" s="196"/>
      <c r="BF25" s="196"/>
      <c r="BG25" s="196"/>
      <c r="BI25" s="199" t="e">
        <v>#DIV/0!</v>
      </c>
      <c r="BJ25" s="196"/>
      <c r="BK25" s="196"/>
      <c r="BL25" s="196"/>
      <c r="BM25" s="196"/>
      <c r="BN25" s="196"/>
      <c r="BO25" s="199" t="e">
        <v>#DIV/0!</v>
      </c>
      <c r="BP25" s="200">
        <v>11</v>
      </c>
      <c r="BQ25" s="200">
        <v>0</v>
      </c>
    </row>
    <row r="26" spans="1:69" ht="14.25" thickBot="1">
      <c r="A26" s="269" t="s">
        <v>734</v>
      </c>
      <c r="B26" s="269" t="s">
        <v>179</v>
      </c>
      <c r="C26" s="270" t="s">
        <v>671</v>
      </c>
      <c r="D26" s="270">
        <v>4</v>
      </c>
      <c r="E26" s="271"/>
      <c r="F26" s="271"/>
      <c r="G26" s="271"/>
      <c r="H26" s="272"/>
      <c r="I26" s="272"/>
      <c r="J26" s="272"/>
      <c r="K26" s="271"/>
      <c r="L26" s="271"/>
      <c r="M26" s="271"/>
      <c r="N26" s="271"/>
      <c r="O26" s="272"/>
      <c r="P26" s="272"/>
      <c r="Q26" s="272"/>
      <c r="R26" s="271"/>
      <c r="S26" s="273"/>
      <c r="T26" s="273"/>
      <c r="U26" s="273"/>
      <c r="V26" s="273"/>
      <c r="W26" s="274"/>
      <c r="X26" s="274"/>
      <c r="Y26" s="274"/>
      <c r="Z26" s="274"/>
      <c r="AA26" s="273"/>
      <c r="AB26" s="273"/>
      <c r="AC26" s="273"/>
      <c r="AD26" s="273"/>
      <c r="AE26" s="273"/>
      <c r="AF26" s="274"/>
      <c r="AG26" s="274"/>
      <c r="AH26" s="273"/>
      <c r="AI26" s="273"/>
      <c r="AJ26" s="273"/>
      <c r="AK26" s="273"/>
      <c r="AL26" s="274"/>
      <c r="AM26" s="275"/>
      <c r="AN26" s="269"/>
      <c r="AO26" s="275"/>
      <c r="AP26" s="196"/>
      <c r="AQ26" s="196"/>
      <c r="AR26" s="196"/>
      <c r="AS26" s="196"/>
      <c r="AT26" s="196"/>
      <c r="AU26" s="197" t="e">
        <v>#DIV/0!</v>
      </c>
      <c r="AV26" s="196">
        <v>14.65</v>
      </c>
      <c r="AW26" s="196">
        <v>7.25</v>
      </c>
      <c r="AX26" s="196">
        <v>13.7</v>
      </c>
      <c r="AY26" s="196">
        <v>12.9</v>
      </c>
      <c r="AZ26" s="198">
        <v>12.9</v>
      </c>
      <c r="BA26" s="199">
        <v>12.279999999999998</v>
      </c>
      <c r="BB26" s="200">
        <v>12</v>
      </c>
      <c r="BC26" s="200">
        <v>0</v>
      </c>
      <c r="BD26" s="196"/>
      <c r="BE26" s="196"/>
      <c r="BF26" s="196"/>
      <c r="BG26" s="196"/>
      <c r="BI26" s="199" t="e">
        <v>#DIV/0!</v>
      </c>
      <c r="BJ26" s="196"/>
      <c r="BK26" s="196"/>
      <c r="BL26" s="196"/>
      <c r="BM26" s="196"/>
      <c r="BN26" s="196"/>
      <c r="BO26" s="199" t="e">
        <v>#DIV/0!</v>
      </c>
      <c r="BP26" s="200">
        <v>11</v>
      </c>
      <c r="BQ26" s="200">
        <v>0</v>
      </c>
    </row>
    <row r="27" spans="1:69" ht="14.25" thickTop="1">
      <c r="A27" s="227" t="s">
        <v>736</v>
      </c>
      <c r="B27" s="227" t="s">
        <v>179</v>
      </c>
      <c r="C27" s="228" t="s">
        <v>269</v>
      </c>
      <c r="D27" s="228">
        <v>4</v>
      </c>
      <c r="E27" s="229">
        <v>0.55138888888888704</v>
      </c>
      <c r="F27" s="229">
        <v>0.58359953703703704</v>
      </c>
      <c r="G27" s="229">
        <v>0.6958333333333333</v>
      </c>
      <c r="H27" s="210">
        <v>3.2210648148150001E-2</v>
      </c>
      <c r="I27" s="210">
        <v>0</v>
      </c>
      <c r="J27" s="210">
        <v>0.14444444444444626</v>
      </c>
      <c r="K27" s="229">
        <v>0.14583333333333334</v>
      </c>
      <c r="L27" s="229"/>
      <c r="M27" s="229"/>
      <c r="N27" s="229"/>
      <c r="O27" s="210">
        <v>0</v>
      </c>
      <c r="P27" s="210">
        <v>0</v>
      </c>
      <c r="Q27" s="210">
        <v>0</v>
      </c>
      <c r="R27" s="229">
        <v>0.16666666666666666</v>
      </c>
      <c r="S27" s="230">
        <v>1</v>
      </c>
      <c r="T27" s="230"/>
      <c r="U27" s="230">
        <v>5</v>
      </c>
      <c r="V27" s="230"/>
      <c r="W27" s="240">
        <v>20</v>
      </c>
      <c r="X27" s="240">
        <v>20</v>
      </c>
      <c r="Y27" s="240">
        <v>5</v>
      </c>
      <c r="Z27" s="240">
        <v>5</v>
      </c>
      <c r="AA27" s="230">
        <v>3.4</v>
      </c>
      <c r="AB27" s="230">
        <v>4</v>
      </c>
      <c r="AC27" s="230">
        <v>3.9</v>
      </c>
      <c r="AD27" s="230">
        <v>3.8</v>
      </c>
      <c r="AE27" s="230">
        <v>2</v>
      </c>
      <c r="AF27" s="240">
        <v>1</v>
      </c>
      <c r="AG27" s="240">
        <v>5</v>
      </c>
      <c r="AH27" s="230"/>
      <c r="AI27" s="230">
        <v>5</v>
      </c>
      <c r="AJ27" s="230">
        <v>5</v>
      </c>
      <c r="AK27" s="230"/>
      <c r="AL27" s="240">
        <v>83.1</v>
      </c>
      <c r="AM27" s="266">
        <v>1</v>
      </c>
      <c r="AN27" s="227"/>
      <c r="AO27" s="266">
        <v>1</v>
      </c>
      <c r="AP27" s="196"/>
      <c r="AQ27" s="196"/>
      <c r="AR27" s="196"/>
      <c r="AS27" s="196"/>
      <c r="AT27" s="196"/>
      <c r="AU27" s="197" t="e">
        <v>#DIV/0!</v>
      </c>
      <c r="AV27" s="196">
        <v>12.25</v>
      </c>
      <c r="AW27" s="196">
        <v>13.05</v>
      </c>
      <c r="AX27" s="196">
        <v>12.15</v>
      </c>
      <c r="AY27" s="196">
        <v>11.65</v>
      </c>
      <c r="BA27" s="199">
        <v>12.275</v>
      </c>
      <c r="BB27" s="200">
        <v>12</v>
      </c>
      <c r="BC27" s="200">
        <v>0</v>
      </c>
      <c r="BD27" s="196"/>
      <c r="BE27" s="196"/>
      <c r="BF27" s="196"/>
      <c r="BG27" s="196"/>
      <c r="BI27" s="199" t="e">
        <v>#DIV/0!</v>
      </c>
      <c r="BJ27" s="196"/>
      <c r="BK27" s="196"/>
      <c r="BL27" s="196"/>
      <c r="BM27" s="196"/>
      <c r="BN27" s="196"/>
      <c r="BO27" s="199" t="e">
        <v>#DIV/0!</v>
      </c>
      <c r="BP27" s="200">
        <v>11</v>
      </c>
      <c r="BQ27" s="200">
        <v>0</v>
      </c>
    </row>
    <row r="28" spans="1:69">
      <c r="A28" s="218" t="s">
        <v>736</v>
      </c>
      <c r="B28" s="218" t="s">
        <v>641</v>
      </c>
      <c r="C28" s="219" t="s">
        <v>272</v>
      </c>
      <c r="D28" s="219">
        <v>4</v>
      </c>
      <c r="E28" s="220">
        <v>0.55347222222221903</v>
      </c>
      <c r="F28" s="220">
        <v>0.58853009259259259</v>
      </c>
      <c r="G28" s="220">
        <v>0.69271990740740741</v>
      </c>
      <c r="H28" s="208">
        <v>3.5057870370373556E-2</v>
      </c>
      <c r="I28" s="208">
        <v>2.8472222222235555E-3</v>
      </c>
      <c r="J28" s="208">
        <v>0.13924768518518837</v>
      </c>
      <c r="K28" s="220">
        <v>0.14583333333333334</v>
      </c>
      <c r="L28" s="220"/>
      <c r="M28" s="220"/>
      <c r="N28" s="220"/>
      <c r="O28" s="208">
        <v>0</v>
      </c>
      <c r="P28" s="208">
        <v>0</v>
      </c>
      <c r="Q28" s="208">
        <v>0</v>
      </c>
      <c r="R28" s="220">
        <v>0.16666666666666666</v>
      </c>
      <c r="S28" s="221">
        <v>0.5</v>
      </c>
      <c r="T28" s="221"/>
      <c r="U28" s="221">
        <v>6</v>
      </c>
      <c r="V28" s="221"/>
      <c r="W28" s="238">
        <v>17.899999999999999</v>
      </c>
      <c r="X28" s="238">
        <v>20</v>
      </c>
      <c r="Y28" s="238">
        <v>5</v>
      </c>
      <c r="Z28" s="238">
        <v>5</v>
      </c>
      <c r="AA28" s="221">
        <v>3.7</v>
      </c>
      <c r="AB28" s="221">
        <v>3.9</v>
      </c>
      <c r="AC28" s="221">
        <v>2.8</v>
      </c>
      <c r="AD28" s="221">
        <v>3.4</v>
      </c>
      <c r="AE28" s="221">
        <v>1.8</v>
      </c>
      <c r="AF28" s="238">
        <v>0.5</v>
      </c>
      <c r="AG28" s="238">
        <v>6</v>
      </c>
      <c r="AH28" s="221"/>
      <c r="AI28" s="221">
        <v>5</v>
      </c>
      <c r="AJ28" s="221">
        <v>5</v>
      </c>
      <c r="AK28" s="221"/>
      <c r="AL28" s="238">
        <v>80</v>
      </c>
      <c r="AM28" s="267">
        <v>2</v>
      </c>
      <c r="AN28" s="218"/>
      <c r="AO28" s="267">
        <v>2</v>
      </c>
      <c r="AP28" s="196"/>
      <c r="AQ28" s="196"/>
      <c r="AR28" s="196"/>
      <c r="AS28" s="196"/>
      <c r="AT28" s="196"/>
      <c r="AU28" s="197" t="e">
        <v>#DIV/0!</v>
      </c>
      <c r="AV28" s="196">
        <v>13.75</v>
      </c>
      <c r="AW28" s="196">
        <v>10.7</v>
      </c>
      <c r="AX28" s="196">
        <v>7.35</v>
      </c>
      <c r="AY28" s="196">
        <v>17.149999999999999</v>
      </c>
      <c r="BA28" s="199">
        <v>12.237499999999999</v>
      </c>
      <c r="BB28" s="200">
        <v>12</v>
      </c>
      <c r="BC28" s="200">
        <v>0</v>
      </c>
      <c r="BD28" s="196"/>
      <c r="BE28" s="196"/>
      <c r="BF28" s="196"/>
      <c r="BG28" s="196"/>
      <c r="BI28" s="199" t="e">
        <v>#DIV/0!</v>
      </c>
      <c r="BJ28" s="196"/>
      <c r="BK28" s="196"/>
      <c r="BL28" s="196"/>
      <c r="BM28" s="196"/>
      <c r="BN28" s="196"/>
      <c r="BO28" s="199" t="e">
        <v>#DIV/0!</v>
      </c>
      <c r="BP28" s="200">
        <v>11</v>
      </c>
      <c r="BQ28" s="200">
        <v>0</v>
      </c>
    </row>
    <row r="29" spans="1:69">
      <c r="A29" s="218" t="s">
        <v>736</v>
      </c>
      <c r="B29" s="218" t="s">
        <v>728</v>
      </c>
      <c r="C29" s="219" t="s">
        <v>271</v>
      </c>
      <c r="D29" s="219">
        <v>4</v>
      </c>
      <c r="E29" s="220">
        <v>0.55277777777777504</v>
      </c>
      <c r="F29" s="220">
        <v>0.59457175925925931</v>
      </c>
      <c r="G29" s="220">
        <v>0.69252314814814808</v>
      </c>
      <c r="H29" s="208">
        <v>4.1793981481484277E-2</v>
      </c>
      <c r="I29" s="208">
        <v>9.5833333333342763E-3</v>
      </c>
      <c r="J29" s="208">
        <v>0.13974537037037305</v>
      </c>
      <c r="K29" s="220">
        <v>0.14583333333333334</v>
      </c>
      <c r="L29" s="220"/>
      <c r="M29" s="220"/>
      <c r="N29" s="220"/>
      <c r="O29" s="208">
        <v>0</v>
      </c>
      <c r="P29" s="208">
        <v>0</v>
      </c>
      <c r="Q29" s="208">
        <v>0</v>
      </c>
      <c r="R29" s="220">
        <v>0.16666666666666666</v>
      </c>
      <c r="S29" s="221">
        <v>0.8</v>
      </c>
      <c r="T29" s="221"/>
      <c r="U29" s="221">
        <v>2</v>
      </c>
      <c r="V29" s="221"/>
      <c r="W29" s="238">
        <v>13.1</v>
      </c>
      <c r="X29" s="238">
        <v>20</v>
      </c>
      <c r="Y29" s="238">
        <v>5</v>
      </c>
      <c r="Z29" s="238">
        <v>5</v>
      </c>
      <c r="AA29" s="221">
        <v>3.3</v>
      </c>
      <c r="AB29" s="221">
        <v>3.4</v>
      </c>
      <c r="AC29" s="221">
        <v>2.7</v>
      </c>
      <c r="AD29" s="221">
        <v>2.8</v>
      </c>
      <c r="AE29" s="221">
        <v>1.4</v>
      </c>
      <c r="AF29" s="238">
        <v>0.8</v>
      </c>
      <c r="AG29" s="238">
        <v>2</v>
      </c>
      <c r="AH29" s="221"/>
      <c r="AI29" s="221">
        <v>4.8</v>
      </c>
      <c r="AJ29" s="221">
        <v>5</v>
      </c>
      <c r="AK29" s="221"/>
      <c r="AL29" s="238">
        <v>69.3</v>
      </c>
      <c r="AM29" s="267">
        <v>3</v>
      </c>
      <c r="AN29" s="218"/>
      <c r="AO29" s="267">
        <v>3</v>
      </c>
      <c r="AP29" s="196"/>
      <c r="AQ29" s="196"/>
      <c r="AR29" s="196"/>
      <c r="AS29" s="196"/>
      <c r="AT29" s="196"/>
      <c r="AU29" s="197" t="e">
        <v>#DIV/0!</v>
      </c>
      <c r="AV29" s="196">
        <v>11.8</v>
      </c>
      <c r="AW29" s="196">
        <v>12.55</v>
      </c>
      <c r="AX29" s="196">
        <v>12.35</v>
      </c>
      <c r="AY29" s="196">
        <v>11.2</v>
      </c>
      <c r="BA29" s="199">
        <v>11.975000000000001</v>
      </c>
      <c r="BB29" s="200">
        <v>12</v>
      </c>
      <c r="BC29" s="200">
        <v>-2.4999999999998579E-2</v>
      </c>
      <c r="BD29" s="196"/>
      <c r="BE29" s="196"/>
      <c r="BF29" s="196"/>
      <c r="BG29" s="196"/>
      <c r="BI29" s="199" t="e">
        <v>#DIV/0!</v>
      </c>
      <c r="BJ29" s="196"/>
      <c r="BK29" s="196"/>
      <c r="BL29" s="196"/>
      <c r="BM29" s="196"/>
      <c r="BN29" s="196"/>
      <c r="BO29" s="199" t="e">
        <v>#DIV/0!</v>
      </c>
      <c r="BP29" s="200">
        <v>11</v>
      </c>
      <c r="BQ29" s="200">
        <v>0</v>
      </c>
    </row>
    <row r="30" spans="1:69" ht="14.25" thickBot="1">
      <c r="A30" s="223" t="s">
        <v>736</v>
      </c>
      <c r="B30" s="224" t="s">
        <v>182</v>
      </c>
      <c r="C30" s="224" t="s">
        <v>270</v>
      </c>
      <c r="D30" s="224">
        <v>4</v>
      </c>
      <c r="E30" s="225">
        <v>0.55208333333333104</v>
      </c>
      <c r="F30" s="225">
        <v>0.60625000000000007</v>
      </c>
      <c r="G30" s="225">
        <v>0.69125000000000003</v>
      </c>
      <c r="H30" s="209">
        <v>5.4166666666669028E-2</v>
      </c>
      <c r="I30" s="209">
        <v>2.1956018518519027E-2</v>
      </c>
      <c r="J30" s="209">
        <v>0.13916666666666899</v>
      </c>
      <c r="K30" s="225">
        <v>0.14583333333333334</v>
      </c>
      <c r="L30" s="225"/>
      <c r="M30" s="225"/>
      <c r="N30" s="225"/>
      <c r="O30" s="209">
        <v>0</v>
      </c>
      <c r="P30" s="209">
        <v>0</v>
      </c>
      <c r="Q30" s="209">
        <v>0</v>
      </c>
      <c r="R30" s="225">
        <v>0.16666666666666666</v>
      </c>
      <c r="S30" s="226">
        <v>0.8</v>
      </c>
      <c r="T30" s="226"/>
      <c r="U30" s="226">
        <v>3</v>
      </c>
      <c r="V30" s="226"/>
      <c r="W30" s="239">
        <v>4.2</v>
      </c>
      <c r="X30" s="239">
        <v>20</v>
      </c>
      <c r="Y30" s="239">
        <v>5</v>
      </c>
      <c r="Z30" s="239">
        <v>5</v>
      </c>
      <c r="AA30" s="226">
        <v>1.5</v>
      </c>
      <c r="AB30" s="226">
        <v>3</v>
      </c>
      <c r="AC30" s="226">
        <v>2.9</v>
      </c>
      <c r="AD30" s="226">
        <v>2.5</v>
      </c>
      <c r="AE30" s="226">
        <v>1.8</v>
      </c>
      <c r="AF30" s="239">
        <v>0.8</v>
      </c>
      <c r="AG30" s="239">
        <v>3</v>
      </c>
      <c r="AH30" s="226"/>
      <c r="AI30" s="226">
        <v>5</v>
      </c>
      <c r="AJ30" s="226">
        <v>5</v>
      </c>
      <c r="AK30" s="226"/>
      <c r="AL30" s="239">
        <v>59.699999999999996</v>
      </c>
      <c r="AM30" s="268">
        <v>4</v>
      </c>
      <c r="AN30" s="223"/>
      <c r="AO30" s="268">
        <v>4</v>
      </c>
      <c r="AP30" s="196"/>
      <c r="AQ30" s="196"/>
      <c r="AR30" s="196"/>
      <c r="AS30" s="196"/>
      <c r="AT30" s="196"/>
      <c r="AU30" s="197" t="e">
        <v>#DIV/0!</v>
      </c>
      <c r="AV30" s="196">
        <v>12.25</v>
      </c>
      <c r="AW30" s="196">
        <v>12.4</v>
      </c>
      <c r="AX30" s="196">
        <v>12.3</v>
      </c>
      <c r="AY30" s="196">
        <v>12.7</v>
      </c>
      <c r="BA30" s="199">
        <v>12.412500000000001</v>
      </c>
      <c r="BB30" s="200">
        <v>12</v>
      </c>
      <c r="BC30" s="200">
        <v>0</v>
      </c>
      <c r="BD30" s="196"/>
      <c r="BE30" s="196"/>
      <c r="BF30" s="196"/>
      <c r="BG30" s="196"/>
      <c r="BI30" s="199" t="e">
        <v>#DIV/0!</v>
      </c>
      <c r="BJ30" s="196"/>
      <c r="BK30" s="196"/>
      <c r="BL30" s="196"/>
      <c r="BM30" s="196"/>
      <c r="BN30" s="196"/>
      <c r="BO30" s="199" t="e">
        <v>#DIV/0!</v>
      </c>
      <c r="BP30" s="200">
        <v>11</v>
      </c>
      <c r="BQ30" s="200">
        <v>0</v>
      </c>
    </row>
    <row r="31" spans="1:69">
      <c r="A31" s="227" t="s">
        <v>737</v>
      </c>
      <c r="B31" s="227" t="s">
        <v>753</v>
      </c>
      <c r="C31" s="228" t="s">
        <v>756</v>
      </c>
      <c r="D31" s="228">
        <v>3</v>
      </c>
      <c r="E31" s="229">
        <v>0.55833333333332702</v>
      </c>
      <c r="F31" s="229">
        <v>0.59597222222222224</v>
      </c>
      <c r="G31" s="229">
        <v>0.6888657407407407</v>
      </c>
      <c r="H31" s="210">
        <v>3.7638888888895217E-2</v>
      </c>
      <c r="I31" s="210">
        <v>5.428240740745216E-3</v>
      </c>
      <c r="J31" s="210">
        <v>0.13053240740741368</v>
      </c>
      <c r="K31" s="229">
        <v>0.14583333333333334</v>
      </c>
      <c r="L31" s="229"/>
      <c r="M31" s="229"/>
      <c r="N31" s="229"/>
      <c r="O31" s="210">
        <v>0</v>
      </c>
      <c r="P31" s="210">
        <v>0</v>
      </c>
      <c r="Q31" s="210">
        <v>0</v>
      </c>
      <c r="R31" s="229">
        <v>0.16666666666666666</v>
      </c>
      <c r="S31" s="230">
        <v>0</v>
      </c>
      <c r="T31" s="230"/>
      <c r="U31" s="230">
        <v>4</v>
      </c>
      <c r="V31" s="230"/>
      <c r="W31" s="240">
        <v>16.100000000000001</v>
      </c>
      <c r="X31" s="240">
        <v>20</v>
      </c>
      <c r="Y31" s="240">
        <v>5</v>
      </c>
      <c r="Z31" s="240">
        <v>5</v>
      </c>
      <c r="AA31" s="230">
        <v>2.6</v>
      </c>
      <c r="AB31" s="230">
        <v>3.1</v>
      </c>
      <c r="AC31" s="230">
        <v>2.4</v>
      </c>
      <c r="AD31" s="230">
        <v>2.2999999999999998</v>
      </c>
      <c r="AE31" s="230">
        <v>1.4</v>
      </c>
      <c r="AF31" s="240">
        <v>0</v>
      </c>
      <c r="AG31" s="240">
        <v>4</v>
      </c>
      <c r="AH31" s="230"/>
      <c r="AI31" s="230">
        <v>5</v>
      </c>
      <c r="AJ31" s="230">
        <v>3</v>
      </c>
      <c r="AK31" s="230"/>
      <c r="AL31" s="240">
        <v>69.900000000000006</v>
      </c>
      <c r="AM31" s="245">
        <v>3</v>
      </c>
      <c r="AN31" s="227"/>
      <c r="AO31" s="245">
        <v>1</v>
      </c>
      <c r="AQ31" s="196"/>
      <c r="AR31" s="196"/>
      <c r="AS31" s="196"/>
      <c r="AT31" s="196"/>
      <c r="AU31" s="197" t="e">
        <v>#DIV/0!</v>
      </c>
      <c r="AV31" s="196">
        <v>13.4</v>
      </c>
      <c r="AW31" s="196">
        <v>10.85</v>
      </c>
      <c r="AX31" s="196">
        <v>11.3</v>
      </c>
      <c r="AY31" s="196">
        <v>12.75</v>
      </c>
      <c r="BA31" s="199">
        <v>12.074999999999999</v>
      </c>
      <c r="BB31" s="200">
        <v>12</v>
      </c>
      <c r="BC31" s="200">
        <v>0</v>
      </c>
      <c r="BD31" s="196"/>
      <c r="BE31" s="196"/>
      <c r="BF31" s="196"/>
      <c r="BG31" s="196"/>
      <c r="BI31" s="199" t="e">
        <v>#DIV/0!</v>
      </c>
      <c r="BJ31" s="196"/>
      <c r="BK31" s="196"/>
      <c r="BL31" s="196"/>
      <c r="BM31" s="196"/>
      <c r="BN31" s="196"/>
      <c r="BO31" s="199" t="e">
        <v>#DIV/0!</v>
      </c>
      <c r="BP31" s="200">
        <v>11</v>
      </c>
      <c r="BQ31" s="200">
        <v>0</v>
      </c>
    </row>
    <row r="32" spans="1:69">
      <c r="A32" s="218" t="s">
        <v>737</v>
      </c>
      <c r="B32" s="218" t="s">
        <v>179</v>
      </c>
      <c r="C32" s="219" t="s">
        <v>755</v>
      </c>
      <c r="D32" s="219">
        <v>4</v>
      </c>
      <c r="E32" s="220">
        <v>0.55763888888888302</v>
      </c>
      <c r="F32" s="220">
        <v>0.59662037037037041</v>
      </c>
      <c r="G32" s="220">
        <v>0.69548611111111114</v>
      </c>
      <c r="H32" s="208">
        <v>3.898148148148739E-2</v>
      </c>
      <c r="I32" s="208">
        <v>6.7708333333373893E-3</v>
      </c>
      <c r="J32" s="208">
        <v>0.13784722222222812</v>
      </c>
      <c r="K32" s="220">
        <v>0.14583333333333334</v>
      </c>
      <c r="L32" s="220"/>
      <c r="M32" s="220"/>
      <c r="N32" s="220"/>
      <c r="O32" s="208">
        <v>0</v>
      </c>
      <c r="P32" s="208">
        <v>0</v>
      </c>
      <c r="Q32" s="208">
        <v>0</v>
      </c>
      <c r="R32" s="220">
        <v>0.16666666666666666</v>
      </c>
      <c r="S32" s="221">
        <v>1</v>
      </c>
      <c r="T32" s="221"/>
      <c r="U32" s="221">
        <v>5</v>
      </c>
      <c r="V32" s="221"/>
      <c r="W32" s="238">
        <v>15.1</v>
      </c>
      <c r="X32" s="238">
        <v>20</v>
      </c>
      <c r="Y32" s="238">
        <v>5</v>
      </c>
      <c r="Z32" s="238">
        <v>5</v>
      </c>
      <c r="AA32" s="221">
        <v>2.9</v>
      </c>
      <c r="AB32" s="221">
        <v>3.6</v>
      </c>
      <c r="AC32" s="221">
        <v>3.9</v>
      </c>
      <c r="AD32" s="221">
        <v>2.6</v>
      </c>
      <c r="AE32" s="221">
        <v>2</v>
      </c>
      <c r="AF32" s="238">
        <v>1</v>
      </c>
      <c r="AG32" s="238">
        <v>5</v>
      </c>
      <c r="AH32" s="221"/>
      <c r="AI32" s="221">
        <v>5</v>
      </c>
      <c r="AJ32" s="221">
        <v>5</v>
      </c>
      <c r="AK32" s="221"/>
      <c r="AL32" s="238">
        <v>76.099999999999994</v>
      </c>
      <c r="AM32" s="267">
        <v>1</v>
      </c>
      <c r="AN32" s="218"/>
      <c r="AO32" s="267">
        <v>2</v>
      </c>
      <c r="AP32" s="196"/>
      <c r="AQ32" s="196"/>
      <c r="AR32" s="196"/>
      <c r="AS32" s="196"/>
      <c r="AT32" s="196"/>
      <c r="AU32" s="197" t="e">
        <v>#DIV/0!</v>
      </c>
      <c r="AV32" s="196">
        <v>14.4</v>
      </c>
      <c r="AW32" s="196">
        <v>13.85</v>
      </c>
      <c r="AX32" s="196">
        <v>13.3</v>
      </c>
      <c r="AY32" s="196">
        <v>14.95</v>
      </c>
      <c r="BA32" s="199">
        <v>14.125</v>
      </c>
      <c r="BB32" s="200">
        <v>12</v>
      </c>
      <c r="BC32" s="200">
        <v>0</v>
      </c>
      <c r="BD32" s="196"/>
      <c r="BE32" s="196"/>
      <c r="BF32" s="196"/>
      <c r="BG32" s="196"/>
      <c r="BI32" s="199" t="e">
        <v>#DIV/0!</v>
      </c>
      <c r="BJ32" s="196"/>
      <c r="BK32" s="196"/>
      <c r="BL32" s="196"/>
      <c r="BM32" s="196"/>
      <c r="BN32" s="196"/>
      <c r="BO32" s="199" t="e">
        <v>#DIV/0!</v>
      </c>
      <c r="BP32" s="200">
        <v>11</v>
      </c>
      <c r="BQ32" s="200">
        <v>0</v>
      </c>
    </row>
    <row r="33" spans="1:69">
      <c r="A33" s="218" t="s">
        <v>737</v>
      </c>
      <c r="B33" s="218" t="s">
        <v>751</v>
      </c>
      <c r="C33" s="219" t="s">
        <v>279</v>
      </c>
      <c r="D33" s="219">
        <v>4</v>
      </c>
      <c r="E33" s="220">
        <v>0.55555555555555103</v>
      </c>
      <c r="F33" s="220">
        <v>0.59673611111111113</v>
      </c>
      <c r="G33" s="220">
        <v>0.69780092592592602</v>
      </c>
      <c r="H33" s="208">
        <v>4.1180555555560105E-2</v>
      </c>
      <c r="I33" s="208">
        <v>8.9699074074101048E-3</v>
      </c>
      <c r="J33" s="208">
        <v>0.14224537037037499</v>
      </c>
      <c r="K33" s="220">
        <v>0.14583333333333334</v>
      </c>
      <c r="L33" s="220"/>
      <c r="M33" s="220"/>
      <c r="N33" s="220"/>
      <c r="O33" s="208">
        <v>0</v>
      </c>
      <c r="P33" s="208">
        <v>0</v>
      </c>
      <c r="Q33" s="208">
        <v>0</v>
      </c>
      <c r="R33" s="220">
        <v>0.16666666666666666</v>
      </c>
      <c r="S33" s="221">
        <v>0.8</v>
      </c>
      <c r="T33" s="221"/>
      <c r="U33" s="221">
        <v>2</v>
      </c>
      <c r="V33" s="221"/>
      <c r="W33" s="238">
        <v>13.5</v>
      </c>
      <c r="X33" s="238">
        <v>20</v>
      </c>
      <c r="Y33" s="238">
        <v>5</v>
      </c>
      <c r="Z33" s="238">
        <v>5</v>
      </c>
      <c r="AA33" s="221">
        <v>3.1</v>
      </c>
      <c r="AB33" s="221">
        <v>2.6</v>
      </c>
      <c r="AC33" s="221">
        <v>3.1</v>
      </c>
      <c r="AD33" s="221">
        <v>3.1</v>
      </c>
      <c r="AE33" s="221">
        <v>1.7</v>
      </c>
      <c r="AF33" s="238">
        <v>0.8</v>
      </c>
      <c r="AG33" s="238">
        <v>2</v>
      </c>
      <c r="AH33" s="221"/>
      <c r="AI33" s="221">
        <v>5</v>
      </c>
      <c r="AJ33" s="221">
        <v>4.5</v>
      </c>
      <c r="AK33" s="221"/>
      <c r="AL33" s="238">
        <v>69.400000000000006</v>
      </c>
      <c r="AM33" s="267">
        <v>4</v>
      </c>
      <c r="AN33" s="218"/>
      <c r="AO33" s="267">
        <v>3</v>
      </c>
      <c r="AP33" s="196"/>
      <c r="AQ33" s="196"/>
      <c r="AR33" s="196"/>
      <c r="AS33" s="196"/>
      <c r="AT33" s="196"/>
      <c r="AU33" s="197" t="e">
        <v>#DIV/0!</v>
      </c>
      <c r="AV33" s="196">
        <v>13.15</v>
      </c>
      <c r="AW33" s="196">
        <v>11.8</v>
      </c>
      <c r="AX33" s="196">
        <v>11.15</v>
      </c>
      <c r="AY33" s="196">
        <v>13.65</v>
      </c>
      <c r="BA33" s="199">
        <v>12.4375</v>
      </c>
      <c r="BB33" s="200">
        <v>12</v>
      </c>
      <c r="BC33" s="200">
        <v>0</v>
      </c>
      <c r="BD33" s="196"/>
      <c r="BE33" s="196"/>
      <c r="BF33" s="196"/>
      <c r="BG33" s="196"/>
      <c r="BI33" s="199" t="e">
        <v>#DIV/0!</v>
      </c>
      <c r="BJ33" s="196"/>
      <c r="BK33" s="196"/>
      <c r="BL33" s="196"/>
      <c r="BM33" s="196"/>
      <c r="BN33" s="196"/>
      <c r="BO33" s="199" t="e">
        <v>#DIV/0!</v>
      </c>
      <c r="BP33" s="200">
        <v>11</v>
      </c>
      <c r="BQ33" s="200">
        <v>0</v>
      </c>
    </row>
    <row r="34" spans="1:69">
      <c r="A34" s="218" t="s">
        <v>737</v>
      </c>
      <c r="B34" s="218" t="s">
        <v>752</v>
      </c>
      <c r="C34" s="219" t="s">
        <v>754</v>
      </c>
      <c r="D34" s="219">
        <v>4</v>
      </c>
      <c r="E34" s="220">
        <v>0.55694444444443902</v>
      </c>
      <c r="F34" s="220">
        <v>0.59842592592592592</v>
      </c>
      <c r="G34" s="220">
        <v>0.69407407407407407</v>
      </c>
      <c r="H34" s="208">
        <v>4.1481481481486893E-2</v>
      </c>
      <c r="I34" s="208">
        <v>9.270833333336892E-3</v>
      </c>
      <c r="J34" s="208">
        <v>0.13712962962963504</v>
      </c>
      <c r="K34" s="220">
        <v>0.14583333333333334</v>
      </c>
      <c r="L34" s="220"/>
      <c r="M34" s="220"/>
      <c r="N34" s="220"/>
      <c r="O34" s="208">
        <v>0</v>
      </c>
      <c r="P34" s="208">
        <v>0</v>
      </c>
      <c r="Q34" s="208">
        <v>0</v>
      </c>
      <c r="R34" s="220">
        <v>0.16666666666666666</v>
      </c>
      <c r="S34" s="221">
        <v>0.2</v>
      </c>
      <c r="T34" s="221"/>
      <c r="U34" s="221">
        <v>1</v>
      </c>
      <c r="V34" s="221"/>
      <c r="W34" s="238">
        <v>13.3</v>
      </c>
      <c r="X34" s="238">
        <v>20</v>
      </c>
      <c r="Y34" s="238">
        <v>5</v>
      </c>
      <c r="Z34" s="238">
        <v>5</v>
      </c>
      <c r="AA34" s="221">
        <v>2.2999999999999998</v>
      </c>
      <c r="AB34" s="221">
        <v>3.4</v>
      </c>
      <c r="AC34" s="221">
        <v>3.5</v>
      </c>
      <c r="AD34" s="221">
        <v>2.9</v>
      </c>
      <c r="AE34" s="221">
        <v>1.8</v>
      </c>
      <c r="AF34" s="238">
        <v>0.2</v>
      </c>
      <c r="AG34" s="238">
        <v>1</v>
      </c>
      <c r="AH34" s="221"/>
      <c r="AI34" s="221">
        <v>5</v>
      </c>
      <c r="AJ34" s="221">
        <v>4.5</v>
      </c>
      <c r="AK34" s="221"/>
      <c r="AL34" s="238">
        <v>67.899999999999991</v>
      </c>
      <c r="AM34" s="267">
        <v>5</v>
      </c>
      <c r="AN34" s="218"/>
      <c r="AO34" s="267">
        <v>4</v>
      </c>
      <c r="AP34" s="196"/>
      <c r="AQ34" s="196"/>
      <c r="AR34" s="196"/>
      <c r="AS34" s="196"/>
      <c r="AT34" s="196"/>
      <c r="AU34" s="197" t="e">
        <v>#DIV/0!</v>
      </c>
      <c r="AV34" s="196">
        <v>13</v>
      </c>
      <c r="AW34" s="196">
        <v>12.55</v>
      </c>
      <c r="AX34" s="196">
        <v>13.2</v>
      </c>
      <c r="AY34" s="196"/>
      <c r="BA34" s="199">
        <v>12.916666666666666</v>
      </c>
      <c r="BB34" s="200">
        <v>12</v>
      </c>
      <c r="BC34" s="200">
        <v>0</v>
      </c>
      <c r="BD34" s="196"/>
      <c r="BE34" s="196"/>
      <c r="BF34" s="196"/>
      <c r="BG34" s="196"/>
      <c r="BI34" s="199" t="e">
        <v>#DIV/0!</v>
      </c>
      <c r="BJ34" s="196"/>
      <c r="BK34" s="196"/>
      <c r="BL34" s="196"/>
      <c r="BM34" s="196"/>
      <c r="BN34" s="196"/>
      <c r="BO34" s="199" t="e">
        <v>#DIV/0!</v>
      </c>
      <c r="BP34" s="200">
        <v>11</v>
      </c>
      <c r="BQ34" s="200">
        <v>0</v>
      </c>
    </row>
    <row r="35" spans="1:69">
      <c r="A35" s="218" t="s">
        <v>737</v>
      </c>
      <c r="B35" s="218" t="s">
        <v>750</v>
      </c>
      <c r="C35" s="219" t="s">
        <v>277</v>
      </c>
      <c r="D35" s="219">
        <v>4</v>
      </c>
      <c r="E35" s="220">
        <v>0.55416666666666303</v>
      </c>
      <c r="F35" s="220">
        <v>0.5970833333333333</v>
      </c>
      <c r="G35" s="220">
        <v>0.69884259259259263</v>
      </c>
      <c r="H35" s="208">
        <v>4.2916666666670267E-2</v>
      </c>
      <c r="I35" s="208">
        <v>1.0706018518520266E-2</v>
      </c>
      <c r="J35" s="208">
        <v>0.14467592592592959</v>
      </c>
      <c r="K35" s="220">
        <v>0.14583333333333334</v>
      </c>
      <c r="L35" s="220"/>
      <c r="M35" s="220"/>
      <c r="N35" s="220"/>
      <c r="O35" s="208">
        <v>0</v>
      </c>
      <c r="P35" s="208">
        <v>0</v>
      </c>
      <c r="Q35" s="208">
        <v>0</v>
      </c>
      <c r="R35" s="220">
        <v>0.16666666666666666</v>
      </c>
      <c r="S35" s="221">
        <v>0.4</v>
      </c>
      <c r="T35" s="221"/>
      <c r="U35" s="221">
        <v>4</v>
      </c>
      <c r="V35" s="221"/>
      <c r="W35" s="238">
        <v>12.3</v>
      </c>
      <c r="X35" s="238">
        <v>20</v>
      </c>
      <c r="Y35" s="238">
        <v>5</v>
      </c>
      <c r="Z35" s="238">
        <v>5</v>
      </c>
      <c r="AA35" s="221">
        <v>3.1</v>
      </c>
      <c r="AB35" s="221">
        <v>2</v>
      </c>
      <c r="AC35" s="221">
        <v>4</v>
      </c>
      <c r="AD35" s="221">
        <v>3.4</v>
      </c>
      <c r="AE35" s="221">
        <v>1.8</v>
      </c>
      <c r="AF35" s="238">
        <v>0.4</v>
      </c>
      <c r="AG35" s="238">
        <v>4</v>
      </c>
      <c r="AH35" s="221"/>
      <c r="AI35" s="221">
        <v>5</v>
      </c>
      <c r="AJ35" s="221">
        <v>5</v>
      </c>
      <c r="AK35" s="221"/>
      <c r="AL35" s="238">
        <v>71</v>
      </c>
      <c r="AM35" s="267">
        <v>2</v>
      </c>
      <c r="AN35" s="218"/>
      <c r="AO35" s="267">
        <v>5</v>
      </c>
      <c r="AP35" s="196"/>
      <c r="AQ35" s="196"/>
      <c r="AR35" s="196"/>
      <c r="AS35" s="196"/>
      <c r="AT35" s="196"/>
      <c r="AU35" s="197" t="e">
        <v>#DIV/0!</v>
      </c>
      <c r="AV35" s="196">
        <v>12.5</v>
      </c>
      <c r="AW35" s="196">
        <v>12.2</v>
      </c>
      <c r="AX35" s="196">
        <v>13.85</v>
      </c>
      <c r="AY35" s="196"/>
      <c r="BA35" s="199">
        <v>12.85</v>
      </c>
      <c r="BB35" s="200">
        <v>12</v>
      </c>
      <c r="BC35" s="200">
        <v>0</v>
      </c>
      <c r="BD35" s="196"/>
      <c r="BE35" s="196"/>
      <c r="BF35" s="196"/>
      <c r="BG35" s="196"/>
      <c r="BI35" s="199" t="e">
        <v>#DIV/0!</v>
      </c>
      <c r="BJ35" s="196"/>
      <c r="BK35" s="196"/>
      <c r="BL35" s="196"/>
      <c r="BM35" s="196"/>
      <c r="BN35" s="196"/>
      <c r="BO35" s="199" t="e">
        <v>#DIV/0!</v>
      </c>
      <c r="BP35" s="200">
        <v>11</v>
      </c>
      <c r="BQ35" s="200">
        <v>0</v>
      </c>
    </row>
    <row r="36" spans="1:69">
      <c r="A36" s="218" t="s">
        <v>737</v>
      </c>
      <c r="B36" s="218" t="s">
        <v>728</v>
      </c>
      <c r="C36" s="219" t="s">
        <v>278</v>
      </c>
      <c r="D36" s="219">
        <v>4</v>
      </c>
      <c r="E36" s="220">
        <v>0.55486111111110703</v>
      </c>
      <c r="F36" s="220">
        <v>0.59811342592592587</v>
      </c>
      <c r="G36" s="220">
        <v>0.70185185185185184</v>
      </c>
      <c r="H36" s="208">
        <v>4.3252314814818837E-2</v>
      </c>
      <c r="I36" s="208">
        <v>1.1041666666668837E-2</v>
      </c>
      <c r="J36" s="208">
        <v>0.14699074074074481</v>
      </c>
      <c r="K36" s="220">
        <v>0.14583333333333334</v>
      </c>
      <c r="L36" s="220"/>
      <c r="M36" s="220"/>
      <c r="N36" s="220"/>
      <c r="O36" s="208">
        <v>0</v>
      </c>
      <c r="P36" s="208">
        <v>0</v>
      </c>
      <c r="Q36" s="208">
        <v>0</v>
      </c>
      <c r="R36" s="220">
        <v>0.16666666666666666</v>
      </c>
      <c r="S36" s="221">
        <v>0.7</v>
      </c>
      <c r="T36" s="221"/>
      <c r="U36" s="221">
        <v>2</v>
      </c>
      <c r="V36" s="221"/>
      <c r="W36" s="238">
        <v>12</v>
      </c>
      <c r="X36" s="238">
        <v>20</v>
      </c>
      <c r="Y36" s="238">
        <v>4.7</v>
      </c>
      <c r="Z36" s="238">
        <v>5</v>
      </c>
      <c r="AA36" s="221">
        <v>2.5</v>
      </c>
      <c r="AB36" s="221">
        <v>2.9</v>
      </c>
      <c r="AC36" s="221">
        <v>1.9</v>
      </c>
      <c r="AD36" s="221">
        <v>2</v>
      </c>
      <c r="AE36" s="221">
        <v>1.7</v>
      </c>
      <c r="AF36" s="238">
        <v>0.7</v>
      </c>
      <c r="AG36" s="238">
        <v>2</v>
      </c>
      <c r="AH36" s="221"/>
      <c r="AI36" s="221">
        <v>5</v>
      </c>
      <c r="AJ36" s="221">
        <v>5</v>
      </c>
      <c r="AK36" s="221"/>
      <c r="AL36" s="238">
        <v>65.400000000000006</v>
      </c>
      <c r="AM36" s="267">
        <v>6</v>
      </c>
      <c r="AN36" s="218"/>
      <c r="AO36" s="267">
        <v>6</v>
      </c>
      <c r="AP36" s="196"/>
      <c r="AQ36" s="196"/>
      <c r="AR36" s="196"/>
      <c r="AS36" s="196"/>
      <c r="AT36" s="196"/>
      <c r="AU36" s="197" t="e">
        <v>#DIV/0!</v>
      </c>
      <c r="AV36" s="196">
        <v>12.9</v>
      </c>
      <c r="AW36" s="196">
        <v>12.15</v>
      </c>
      <c r="AX36" s="196">
        <v>12.35</v>
      </c>
      <c r="AY36" s="196">
        <v>12.1</v>
      </c>
      <c r="BA36" s="199">
        <v>12.375</v>
      </c>
      <c r="BB36" s="200">
        <v>12</v>
      </c>
      <c r="BC36" s="200">
        <v>0</v>
      </c>
      <c r="BD36" s="196"/>
      <c r="BE36" s="196"/>
      <c r="BF36" s="196"/>
      <c r="BG36" s="196"/>
      <c r="BI36" s="199" t="e">
        <v>#DIV/0!</v>
      </c>
      <c r="BJ36" s="196"/>
      <c r="BK36" s="196"/>
      <c r="BL36" s="196"/>
      <c r="BM36" s="196"/>
      <c r="BN36" s="196"/>
      <c r="BO36" s="199" t="e">
        <v>#DIV/0!</v>
      </c>
      <c r="BP36" s="200">
        <v>11</v>
      </c>
      <c r="BQ36" s="200">
        <v>0</v>
      </c>
    </row>
    <row r="37" spans="1:69">
      <c r="A37" s="218" t="s">
        <v>737</v>
      </c>
      <c r="B37" s="218" t="s">
        <v>122</v>
      </c>
      <c r="C37" s="219" t="s">
        <v>634</v>
      </c>
      <c r="D37" s="219">
        <v>3</v>
      </c>
      <c r="E37" s="220">
        <v>0.55624999999999503</v>
      </c>
      <c r="F37" s="220">
        <v>0.60712962962962969</v>
      </c>
      <c r="G37" s="220">
        <v>0.69826388888888891</v>
      </c>
      <c r="H37" s="208">
        <v>5.087962962963466E-2</v>
      </c>
      <c r="I37" s="208">
        <v>1.8668981481484659E-2</v>
      </c>
      <c r="J37" s="208">
        <v>0.14201388888889388</v>
      </c>
      <c r="K37" s="220">
        <v>0.14583333333333334</v>
      </c>
      <c r="L37" s="220"/>
      <c r="M37" s="220"/>
      <c r="N37" s="220"/>
      <c r="O37" s="208">
        <v>0</v>
      </c>
      <c r="P37" s="208">
        <v>0</v>
      </c>
      <c r="Q37" s="208">
        <v>0</v>
      </c>
      <c r="R37" s="220">
        <v>0.16666666666666666</v>
      </c>
      <c r="S37" s="221">
        <v>0.6</v>
      </c>
      <c r="T37" s="221"/>
      <c r="U37" s="221">
        <v>3</v>
      </c>
      <c r="V37" s="221"/>
      <c r="W37" s="238">
        <v>6.6</v>
      </c>
      <c r="X37" s="238">
        <v>20</v>
      </c>
      <c r="Y37" s="238">
        <v>5</v>
      </c>
      <c r="Z37" s="238">
        <v>5</v>
      </c>
      <c r="AA37" s="221">
        <v>3.2</v>
      </c>
      <c r="AB37" s="221">
        <v>2</v>
      </c>
      <c r="AC37" s="221">
        <v>3</v>
      </c>
      <c r="AD37" s="221">
        <v>2.7</v>
      </c>
      <c r="AE37" s="221">
        <v>1.6</v>
      </c>
      <c r="AF37" s="238">
        <v>0.6</v>
      </c>
      <c r="AG37" s="238">
        <v>3</v>
      </c>
      <c r="AH37" s="221"/>
      <c r="AI37" s="221">
        <v>4.8</v>
      </c>
      <c r="AJ37" s="221">
        <v>5</v>
      </c>
      <c r="AK37" s="221"/>
      <c r="AL37" s="238">
        <v>62.500000000000007</v>
      </c>
      <c r="AM37" s="267">
        <v>7</v>
      </c>
      <c r="AN37" s="218"/>
      <c r="AO37" s="267">
        <v>7</v>
      </c>
      <c r="AP37" s="196"/>
      <c r="AU37" s="198" t="e">
        <v>#DIV/0!</v>
      </c>
      <c r="AV37" s="198">
        <v>15.6</v>
      </c>
      <c r="AW37" s="198">
        <v>14.5</v>
      </c>
      <c r="AX37" s="198">
        <v>13.6</v>
      </c>
      <c r="BA37" s="199">
        <v>14.566666666666668</v>
      </c>
      <c r="BB37" s="198">
        <v>12</v>
      </c>
      <c r="BC37" s="198">
        <v>0</v>
      </c>
      <c r="BI37" s="198" t="e">
        <v>#DIV/0!</v>
      </c>
      <c r="BO37" s="198" t="e">
        <v>#DIV/0!</v>
      </c>
      <c r="BP37" s="198">
        <v>11</v>
      </c>
      <c r="BQ37" s="198">
        <v>0</v>
      </c>
    </row>
    <row r="38" spans="1:69">
      <c r="A38" s="218"/>
      <c r="B38" s="218"/>
      <c r="C38" s="219"/>
      <c r="D38" s="219"/>
      <c r="E38" s="220"/>
      <c r="F38" s="220"/>
      <c r="G38" s="220"/>
      <c r="H38" s="208"/>
      <c r="I38" s="208"/>
      <c r="J38" s="208"/>
      <c r="K38" s="220"/>
      <c r="L38" s="220"/>
      <c r="M38" s="220"/>
      <c r="N38" s="220"/>
      <c r="O38" s="208"/>
      <c r="P38" s="208"/>
      <c r="Q38" s="208"/>
      <c r="R38" s="220"/>
      <c r="S38" s="221"/>
      <c r="T38" s="221"/>
      <c r="U38" s="221"/>
      <c r="V38" s="221"/>
      <c r="W38" s="238"/>
      <c r="X38" s="238"/>
      <c r="Y38" s="238"/>
      <c r="Z38" s="238"/>
      <c r="AA38" s="221"/>
      <c r="AB38" s="221"/>
      <c r="AC38" s="221"/>
      <c r="AD38" s="221"/>
      <c r="AE38" s="221"/>
      <c r="AF38" s="238"/>
      <c r="AG38" s="238"/>
      <c r="AH38" s="221"/>
      <c r="AI38" s="221"/>
      <c r="AJ38" s="221"/>
      <c r="AK38" s="221"/>
      <c r="AL38" s="238"/>
      <c r="AM38" s="243"/>
      <c r="AN38" s="218"/>
      <c r="AO38" s="243"/>
    </row>
    <row r="40" spans="1:69">
      <c r="B40" s="81" t="s">
        <v>761</v>
      </c>
      <c r="E40" s="191"/>
      <c r="F40" s="191"/>
      <c r="I40" s="192"/>
      <c r="J40" s="192"/>
      <c r="N40" s="193"/>
      <c r="O40" s="193"/>
      <c r="P40" s="193"/>
      <c r="Q40" s="193"/>
      <c r="R40" s="193"/>
      <c r="T40" s="198"/>
      <c r="U40" s="193"/>
      <c r="V40" s="193"/>
      <c r="W40" s="193"/>
      <c r="X40" s="193"/>
      <c r="Y40" s="193"/>
      <c r="Z40" s="193"/>
      <c r="AA40" s="193"/>
      <c r="AB40" s="193"/>
      <c r="AC40" s="193"/>
      <c r="AD40" s="193"/>
      <c r="AE40" s="193"/>
      <c r="AF40" s="193"/>
      <c r="AG40" s="193"/>
      <c r="AH40" s="193"/>
      <c r="AI40" s="193"/>
      <c r="AJ40" s="193"/>
      <c r="AK40" s="193"/>
      <c r="AL40" s="193"/>
    </row>
    <row r="41" spans="1:69">
      <c r="B41" s="81" t="s">
        <v>694</v>
      </c>
      <c r="E41" s="191"/>
      <c r="F41" s="191"/>
      <c r="I41" s="192"/>
      <c r="J41" s="192"/>
      <c r="N41" s="193"/>
      <c r="O41" s="193"/>
      <c r="P41" s="193"/>
      <c r="Q41" s="193"/>
      <c r="R41" s="193"/>
      <c r="T41" s="198"/>
      <c r="U41" s="193"/>
      <c r="V41" s="193"/>
      <c r="W41" s="193">
        <v>20</v>
      </c>
      <c r="X41" s="193">
        <v>20</v>
      </c>
      <c r="Y41" s="193">
        <v>5</v>
      </c>
      <c r="Z41" s="193">
        <v>5</v>
      </c>
      <c r="AA41" s="193">
        <v>4</v>
      </c>
      <c r="AB41" s="193">
        <v>4</v>
      </c>
      <c r="AC41" s="193">
        <v>4</v>
      </c>
      <c r="AD41" s="193">
        <v>3.8</v>
      </c>
      <c r="AE41" s="193">
        <v>2</v>
      </c>
      <c r="AF41" s="193">
        <v>1</v>
      </c>
      <c r="AG41" s="193">
        <v>6</v>
      </c>
      <c r="AH41" s="193">
        <v>0</v>
      </c>
      <c r="AI41" s="193">
        <v>5</v>
      </c>
      <c r="AJ41" s="193">
        <v>5</v>
      </c>
      <c r="AK41" s="193">
        <v>0</v>
      </c>
      <c r="AL41" s="193">
        <v>83.2</v>
      </c>
    </row>
    <row r="42" spans="1:69">
      <c r="B42" s="81" t="s">
        <v>695</v>
      </c>
      <c r="E42" s="191"/>
      <c r="F42" s="191"/>
      <c r="I42" s="192"/>
      <c r="J42" s="192"/>
      <c r="N42" s="193"/>
      <c r="O42" s="193"/>
      <c r="P42" s="193"/>
      <c r="Q42" s="193"/>
      <c r="R42" s="193"/>
      <c r="T42" s="198"/>
      <c r="U42" s="193"/>
      <c r="V42" s="193"/>
      <c r="W42" s="193">
        <v>4.2</v>
      </c>
      <c r="X42" s="193">
        <v>20</v>
      </c>
      <c r="Y42" s="193">
        <v>4.7</v>
      </c>
      <c r="Z42" s="193">
        <v>5</v>
      </c>
      <c r="AA42" s="193">
        <v>0.5</v>
      </c>
      <c r="AB42" s="193">
        <v>0</v>
      </c>
      <c r="AC42" s="193">
        <v>1.2</v>
      </c>
      <c r="AD42" s="193">
        <v>0</v>
      </c>
      <c r="AE42" s="193">
        <v>0.8</v>
      </c>
      <c r="AF42" s="193">
        <v>0</v>
      </c>
      <c r="AG42" s="193">
        <v>0</v>
      </c>
      <c r="AH42" s="193">
        <v>0</v>
      </c>
      <c r="AI42" s="193">
        <v>3.8</v>
      </c>
      <c r="AJ42" s="193">
        <v>3</v>
      </c>
      <c r="AK42" s="193">
        <v>0</v>
      </c>
      <c r="AL42" s="193">
        <v>52.100000000000009</v>
      </c>
    </row>
    <row r="43" spans="1:69">
      <c r="B43" s="81" t="s">
        <v>696</v>
      </c>
      <c r="E43" s="191"/>
      <c r="F43" s="191"/>
      <c r="I43" s="192"/>
      <c r="J43" s="192"/>
      <c r="N43" s="193"/>
      <c r="O43" s="193"/>
      <c r="P43" s="204"/>
      <c r="Q43" s="204"/>
      <c r="R43" s="204"/>
      <c r="T43" s="198"/>
      <c r="U43" s="204"/>
      <c r="V43" s="204"/>
      <c r="W43" s="205">
        <v>13.522857142857147</v>
      </c>
      <c r="X43" s="205">
        <v>20</v>
      </c>
      <c r="Y43" s="205">
        <v>4.9914285714285711</v>
      </c>
      <c r="Z43" s="205">
        <v>5</v>
      </c>
      <c r="AA43" s="205">
        <v>2.6142857142857134</v>
      </c>
      <c r="AB43" s="205">
        <v>2.9142857142857141</v>
      </c>
      <c r="AC43" s="205">
        <v>2.9800000000000009</v>
      </c>
      <c r="AD43" s="205">
        <v>2.5142857142857138</v>
      </c>
      <c r="AE43" s="205">
        <v>1.6971428571428568</v>
      </c>
      <c r="AF43" s="205">
        <v>0.6657142857142857</v>
      </c>
      <c r="AG43" s="205">
        <v>3.5428571428571427</v>
      </c>
      <c r="AH43" s="205" t="e">
        <v>#DIV/0!</v>
      </c>
      <c r="AI43" s="205">
        <v>4.8371428571428572</v>
      </c>
      <c r="AJ43" s="205">
        <v>4.7</v>
      </c>
      <c r="AK43" s="205" t="e">
        <v>#DIV/0!</v>
      </c>
      <c r="AL43" s="205">
        <v>69.97999999999999</v>
      </c>
    </row>
    <row r="44" spans="1:69">
      <c r="B44" s="81" t="s">
        <v>697</v>
      </c>
      <c r="E44" s="191"/>
      <c r="F44" s="191"/>
      <c r="I44" s="192"/>
      <c r="J44" s="192"/>
      <c r="N44" s="193"/>
      <c r="O44" s="193"/>
      <c r="P44" s="193"/>
      <c r="Q44" s="193"/>
      <c r="R44" s="193"/>
      <c r="U44" s="193"/>
      <c r="V44" s="193"/>
      <c r="W44" s="194">
        <v>0.67614285714285738</v>
      </c>
      <c r="X44" s="193">
        <v>1</v>
      </c>
      <c r="Y44" s="193">
        <v>0.99828571428571422</v>
      </c>
      <c r="Z44" s="193">
        <v>1</v>
      </c>
      <c r="AA44" s="81">
        <v>0.65357142857142836</v>
      </c>
      <c r="AB44" s="81">
        <v>0.72857142857142854</v>
      </c>
      <c r="AC44" s="81">
        <v>0.74500000000000022</v>
      </c>
      <c r="AD44" s="81">
        <v>0.62857142857142845</v>
      </c>
      <c r="AE44" s="81">
        <v>0.84857142857142842</v>
      </c>
      <c r="AF44" s="81">
        <v>0.33285714285714285</v>
      </c>
      <c r="AG44" s="81">
        <v>0.35428571428571426</v>
      </c>
      <c r="AH44" s="193" t="e">
        <v>#DIV/0!</v>
      </c>
      <c r="AI44" s="193">
        <v>0.96742857142857142</v>
      </c>
      <c r="AJ44" s="193">
        <v>0.94000000000000006</v>
      </c>
      <c r="AK44" s="81" t="e">
        <v>#DIV/0!</v>
      </c>
      <c r="AL44" s="81">
        <v>0.69979999999999987</v>
      </c>
    </row>
    <row r="45" spans="1:69">
      <c r="B45" s="198"/>
      <c r="E45" s="191"/>
      <c r="F45" s="191"/>
      <c r="I45" s="192"/>
      <c r="J45" s="192"/>
      <c r="N45" s="193"/>
      <c r="O45" s="193"/>
      <c r="P45" s="193"/>
      <c r="Q45" s="193"/>
      <c r="R45" s="193"/>
      <c r="T45" s="198"/>
      <c r="U45" s="193"/>
      <c r="V45" s="193"/>
      <c r="W45" s="192"/>
      <c r="X45" s="193"/>
      <c r="Y45" s="193"/>
      <c r="Z45" s="193"/>
      <c r="AH45" s="193"/>
      <c r="AI45" s="193"/>
      <c r="AJ45" s="193"/>
    </row>
    <row r="49" spans="1:69">
      <c r="H49" s="160"/>
      <c r="I49" s="160"/>
      <c r="J49" s="160"/>
      <c r="O49" s="160"/>
      <c r="P49" s="160"/>
      <c r="Q49" s="160"/>
    </row>
    <row r="50" spans="1:69">
      <c r="H50" s="160"/>
      <c r="I50" s="160"/>
      <c r="J50" s="160"/>
      <c r="O50" s="160"/>
      <c r="P50" s="160"/>
      <c r="Q50" s="160"/>
    </row>
    <row r="51" spans="1:69">
      <c r="H51" s="160"/>
      <c r="I51" s="160"/>
      <c r="J51" s="160"/>
      <c r="O51" s="160"/>
      <c r="P51" s="160"/>
      <c r="Q51" s="160"/>
    </row>
    <row r="52" spans="1:69">
      <c r="H52" s="160"/>
      <c r="I52" s="160"/>
      <c r="J52" s="160"/>
      <c r="O52" s="160"/>
      <c r="P52" s="160"/>
      <c r="Q52" s="160"/>
    </row>
    <row r="53" spans="1:69" s="192" customFormat="1">
      <c r="A53" s="81"/>
      <c r="B53" s="81"/>
      <c r="C53" s="201"/>
      <c r="D53" s="201"/>
      <c r="H53" s="160"/>
      <c r="I53" s="160"/>
      <c r="J53" s="160"/>
      <c r="O53" s="160"/>
      <c r="P53" s="160"/>
      <c r="Q53" s="160"/>
      <c r="S53" s="81"/>
      <c r="T53" s="81"/>
      <c r="U53" s="81"/>
      <c r="V53" s="81"/>
      <c r="W53" s="203"/>
      <c r="X53" s="81"/>
      <c r="Y53" s="81"/>
      <c r="Z53" s="81"/>
      <c r="AA53" s="81"/>
      <c r="AB53" s="81"/>
      <c r="AC53" s="81"/>
      <c r="AD53" s="81"/>
      <c r="AE53" s="81"/>
      <c r="AF53" s="81"/>
      <c r="AG53" s="81"/>
      <c r="AH53" s="81"/>
      <c r="AI53" s="81"/>
      <c r="AJ53" s="81"/>
      <c r="AK53" s="81"/>
      <c r="AL53" s="81"/>
      <c r="AM53" s="81"/>
      <c r="AN53" s="81"/>
      <c r="AO53" s="81"/>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row>
    <row r="54" spans="1:69" s="192" customFormat="1">
      <c r="A54" s="81"/>
      <c r="B54" s="81"/>
      <c r="C54" s="201"/>
      <c r="D54" s="201"/>
      <c r="H54" s="160"/>
      <c r="I54" s="160"/>
      <c r="J54" s="160"/>
      <c r="O54" s="160"/>
      <c r="P54" s="160"/>
      <c r="Q54" s="160"/>
      <c r="S54" s="81"/>
      <c r="T54" s="81"/>
      <c r="U54" s="81"/>
      <c r="V54" s="81"/>
      <c r="W54" s="203"/>
      <c r="X54" s="81"/>
      <c r="Y54" s="81"/>
      <c r="Z54" s="81"/>
      <c r="AA54" s="81"/>
      <c r="AB54" s="81"/>
      <c r="AC54" s="81"/>
      <c r="AD54" s="81"/>
      <c r="AE54" s="81"/>
      <c r="AF54" s="81"/>
      <c r="AG54" s="81"/>
      <c r="AH54" s="81"/>
      <c r="AI54" s="81"/>
      <c r="AJ54" s="81"/>
      <c r="AK54" s="81"/>
      <c r="AL54" s="81"/>
      <c r="AM54" s="81"/>
      <c r="AN54" s="81"/>
      <c r="AO54" s="81"/>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row>
    <row r="55" spans="1:69" s="192" customFormat="1">
      <c r="A55" s="81"/>
      <c r="B55" s="81"/>
      <c r="C55" s="201"/>
      <c r="D55" s="201"/>
      <c r="H55" s="160"/>
      <c r="I55" s="160"/>
      <c r="J55" s="160"/>
      <c r="O55" s="160"/>
      <c r="P55" s="160"/>
      <c r="Q55" s="160"/>
      <c r="S55" s="81"/>
      <c r="T55" s="81"/>
      <c r="U55" s="81"/>
      <c r="V55" s="81"/>
      <c r="W55" s="203"/>
      <c r="X55" s="81"/>
      <c r="Y55" s="81"/>
      <c r="Z55" s="81"/>
      <c r="AA55" s="81"/>
      <c r="AB55" s="81"/>
      <c r="AC55" s="81"/>
      <c r="AD55" s="81"/>
      <c r="AE55" s="81"/>
      <c r="AF55" s="81"/>
      <c r="AG55" s="81"/>
      <c r="AH55" s="81"/>
      <c r="AI55" s="81"/>
      <c r="AJ55" s="81"/>
      <c r="AK55" s="81"/>
      <c r="AL55" s="81"/>
      <c r="AM55" s="81"/>
      <c r="AN55" s="81"/>
      <c r="AO55" s="81"/>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row>
    <row r="56" spans="1:69" s="192" customFormat="1">
      <c r="A56" s="81"/>
      <c r="B56" s="81"/>
      <c r="C56" s="201"/>
      <c r="D56" s="201"/>
      <c r="H56" s="160"/>
      <c r="I56" s="160"/>
      <c r="J56" s="160"/>
      <c r="O56" s="160"/>
      <c r="P56" s="160"/>
      <c r="Q56" s="160"/>
      <c r="S56" s="81"/>
      <c r="T56" s="81"/>
      <c r="U56" s="81"/>
      <c r="V56" s="81"/>
      <c r="W56" s="203"/>
      <c r="X56" s="81"/>
      <c r="Y56" s="81"/>
      <c r="Z56" s="81"/>
      <c r="AA56" s="81"/>
      <c r="AB56" s="81"/>
      <c r="AC56" s="81"/>
      <c r="AD56" s="81"/>
      <c r="AE56" s="81"/>
      <c r="AF56" s="81"/>
      <c r="AG56" s="81"/>
      <c r="AH56" s="81"/>
      <c r="AI56" s="81"/>
      <c r="AJ56" s="81"/>
      <c r="AK56" s="81"/>
      <c r="AL56" s="81"/>
      <c r="AM56" s="81"/>
      <c r="AN56" s="81"/>
      <c r="AO56" s="81"/>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row>
    <row r="57" spans="1:69" s="192" customFormat="1">
      <c r="A57" s="81"/>
      <c r="B57" s="81"/>
      <c r="C57" s="201"/>
      <c r="D57" s="201"/>
      <c r="H57" s="160"/>
      <c r="I57" s="160"/>
      <c r="J57" s="160"/>
      <c r="O57" s="160"/>
      <c r="P57" s="160"/>
      <c r="Q57" s="160"/>
      <c r="S57" s="81"/>
      <c r="T57" s="81"/>
      <c r="U57" s="81"/>
      <c r="V57" s="81"/>
      <c r="W57" s="203"/>
      <c r="X57" s="81"/>
      <c r="Y57" s="81"/>
      <c r="Z57" s="81"/>
      <c r="AA57" s="81"/>
      <c r="AB57" s="81"/>
      <c r="AC57" s="81"/>
      <c r="AD57" s="81"/>
      <c r="AE57" s="81"/>
      <c r="AF57" s="81"/>
      <c r="AG57" s="81"/>
      <c r="AH57" s="81"/>
      <c r="AI57" s="81"/>
      <c r="AJ57" s="81"/>
      <c r="AK57" s="81"/>
      <c r="AL57" s="81"/>
      <c r="AM57" s="81"/>
      <c r="AN57" s="81"/>
      <c r="AO57" s="81"/>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row>
    <row r="58" spans="1:69" s="192" customFormat="1">
      <c r="A58" s="81"/>
      <c r="B58" s="81"/>
      <c r="C58" s="201"/>
      <c r="D58" s="201"/>
      <c r="H58" s="160"/>
      <c r="I58" s="160"/>
      <c r="J58" s="160"/>
      <c r="O58" s="160"/>
      <c r="P58" s="160"/>
      <c r="Q58" s="160"/>
      <c r="S58" s="81"/>
      <c r="T58" s="81"/>
      <c r="U58" s="81"/>
      <c r="V58" s="81"/>
      <c r="W58" s="203"/>
      <c r="X58" s="81"/>
      <c r="Y58" s="81"/>
      <c r="Z58" s="81"/>
      <c r="AA58" s="81"/>
      <c r="AB58" s="81"/>
      <c r="AC58" s="81"/>
      <c r="AD58" s="81"/>
      <c r="AE58" s="81"/>
      <c r="AF58" s="81"/>
      <c r="AG58" s="81"/>
      <c r="AH58" s="81"/>
      <c r="AI58" s="81"/>
      <c r="AJ58" s="81"/>
      <c r="AK58" s="81"/>
      <c r="AL58" s="81"/>
      <c r="AM58" s="81"/>
      <c r="AN58" s="81"/>
      <c r="AO58" s="81"/>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row>
    <row r="59" spans="1:69" s="192" customFormat="1">
      <c r="A59" s="81"/>
      <c r="B59" s="81"/>
      <c r="C59" s="201"/>
      <c r="D59" s="201"/>
      <c r="H59" s="160"/>
      <c r="I59" s="160"/>
      <c r="J59" s="160"/>
      <c r="O59" s="160"/>
      <c r="P59" s="160"/>
      <c r="Q59" s="160"/>
      <c r="S59" s="81"/>
      <c r="T59" s="81"/>
      <c r="U59" s="81"/>
      <c r="V59" s="81"/>
      <c r="W59" s="203"/>
      <c r="X59" s="81"/>
      <c r="Y59" s="81"/>
      <c r="Z59" s="81"/>
      <c r="AA59" s="81"/>
      <c r="AB59" s="81"/>
      <c r="AC59" s="81"/>
      <c r="AD59" s="81"/>
      <c r="AE59" s="81"/>
      <c r="AF59" s="81"/>
      <c r="AG59" s="81"/>
      <c r="AH59" s="81"/>
      <c r="AI59" s="81"/>
      <c r="AJ59" s="81"/>
      <c r="AK59" s="81"/>
      <c r="AL59" s="81"/>
      <c r="AM59" s="81"/>
      <c r="AN59" s="81"/>
      <c r="AO59" s="81"/>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row>
    <row r="60" spans="1:69" s="192" customFormat="1">
      <c r="A60" s="81"/>
      <c r="B60" s="81"/>
      <c r="C60" s="201"/>
      <c r="D60" s="201"/>
      <c r="H60" s="160"/>
      <c r="I60" s="160"/>
      <c r="J60" s="160"/>
      <c r="O60" s="160"/>
      <c r="P60" s="160"/>
      <c r="Q60" s="160"/>
      <c r="S60" s="81"/>
      <c r="T60" s="81"/>
      <c r="U60" s="81"/>
      <c r="V60" s="81"/>
      <c r="W60" s="203"/>
      <c r="X60" s="81"/>
      <c r="Y60" s="81"/>
      <c r="Z60" s="81"/>
      <c r="AA60" s="81"/>
      <c r="AB60" s="81"/>
      <c r="AC60" s="81"/>
      <c r="AD60" s="81"/>
      <c r="AE60" s="81"/>
      <c r="AF60" s="81"/>
      <c r="AG60" s="81"/>
      <c r="AH60" s="81"/>
      <c r="AI60" s="81"/>
      <c r="AJ60" s="81"/>
      <c r="AK60" s="81"/>
      <c r="AL60" s="81"/>
      <c r="AM60" s="81"/>
      <c r="AN60" s="81"/>
      <c r="AO60" s="81"/>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row>
    <row r="61" spans="1:69" s="192" customFormat="1">
      <c r="A61" s="81"/>
      <c r="B61" s="81"/>
      <c r="C61" s="201"/>
      <c r="D61" s="201"/>
      <c r="H61" s="160"/>
      <c r="I61" s="160"/>
      <c r="J61" s="160"/>
      <c r="O61" s="160"/>
      <c r="P61" s="160"/>
      <c r="Q61" s="160"/>
      <c r="S61" s="81"/>
      <c r="T61" s="81"/>
      <c r="U61" s="81"/>
      <c r="V61" s="81"/>
      <c r="W61" s="203"/>
      <c r="X61" s="81"/>
      <c r="Y61" s="81"/>
      <c r="Z61" s="81"/>
      <c r="AA61" s="81"/>
      <c r="AB61" s="81"/>
      <c r="AC61" s="81"/>
      <c r="AD61" s="81"/>
      <c r="AE61" s="81"/>
      <c r="AF61" s="81"/>
      <c r="AG61" s="81"/>
      <c r="AH61" s="81"/>
      <c r="AI61" s="81"/>
      <c r="AJ61" s="81"/>
      <c r="AK61" s="81"/>
      <c r="AL61" s="81"/>
      <c r="AM61" s="81"/>
      <c r="AN61" s="81"/>
      <c r="AO61" s="81"/>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row>
    <row r="62" spans="1:69" s="192" customFormat="1">
      <c r="A62" s="81"/>
      <c r="B62" s="81"/>
      <c r="C62" s="201"/>
      <c r="D62" s="201"/>
      <c r="H62" s="202"/>
      <c r="I62" s="202"/>
      <c r="J62" s="202"/>
      <c r="O62" s="202"/>
      <c r="P62" s="202"/>
      <c r="Q62" s="202"/>
      <c r="S62" s="81"/>
      <c r="T62" s="81"/>
      <c r="U62" s="81"/>
      <c r="V62" s="81"/>
      <c r="W62" s="203"/>
      <c r="X62" s="81"/>
      <c r="Y62" s="81"/>
      <c r="Z62" s="81"/>
      <c r="AA62" s="81"/>
      <c r="AB62" s="81"/>
      <c r="AC62" s="81"/>
      <c r="AD62" s="81"/>
      <c r="AE62" s="81"/>
      <c r="AF62" s="81"/>
      <c r="AG62" s="81"/>
      <c r="AH62" s="81"/>
      <c r="AI62" s="81"/>
      <c r="AJ62" s="81"/>
      <c r="AK62" s="81"/>
      <c r="AL62" s="81"/>
      <c r="AM62" s="81"/>
      <c r="AN62" s="81"/>
      <c r="AO62" s="81"/>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row>
    <row r="63" spans="1:69" s="192" customFormat="1">
      <c r="A63" s="81"/>
      <c r="B63" s="81"/>
      <c r="C63" s="201"/>
      <c r="D63" s="201"/>
      <c r="H63" s="202"/>
      <c r="I63" s="202"/>
      <c r="J63" s="202"/>
      <c r="O63" s="202"/>
      <c r="P63" s="202"/>
      <c r="Q63" s="202"/>
      <c r="S63" s="81"/>
      <c r="T63" s="81"/>
      <c r="U63" s="81"/>
      <c r="V63" s="81"/>
      <c r="W63" s="203"/>
      <c r="X63" s="81"/>
      <c r="Y63" s="81"/>
      <c r="Z63" s="81"/>
      <c r="AA63" s="81"/>
      <c r="AB63" s="81"/>
      <c r="AC63" s="81"/>
      <c r="AD63" s="81"/>
      <c r="AE63" s="81"/>
      <c r="AF63" s="81"/>
      <c r="AG63" s="81"/>
      <c r="AH63" s="81"/>
      <c r="AI63" s="81"/>
      <c r="AJ63" s="81"/>
      <c r="AK63" s="81"/>
      <c r="AL63" s="81"/>
      <c r="AM63" s="81"/>
      <c r="AN63" s="81"/>
      <c r="AO63" s="81"/>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row>
    <row r="64" spans="1:69" s="192" customFormat="1">
      <c r="A64" s="81"/>
      <c r="B64" s="81"/>
      <c r="C64" s="201"/>
      <c r="D64" s="201"/>
      <c r="H64" s="202"/>
      <c r="I64" s="202"/>
      <c r="J64" s="202"/>
      <c r="O64" s="202"/>
      <c r="P64" s="202"/>
      <c r="Q64" s="202"/>
      <c r="S64" s="81"/>
      <c r="T64" s="81"/>
      <c r="U64" s="81"/>
      <c r="V64" s="81"/>
      <c r="W64" s="203"/>
      <c r="X64" s="81"/>
      <c r="Y64" s="81"/>
      <c r="Z64" s="81"/>
      <c r="AA64" s="81"/>
      <c r="AB64" s="81"/>
      <c r="AC64" s="81"/>
      <c r="AD64" s="81"/>
      <c r="AE64" s="81"/>
      <c r="AF64" s="81"/>
      <c r="AG64" s="81"/>
      <c r="AH64" s="81"/>
      <c r="AI64" s="81"/>
      <c r="AJ64" s="81"/>
      <c r="AK64" s="81"/>
      <c r="AL64" s="81"/>
      <c r="AM64" s="81"/>
      <c r="AN64" s="81"/>
      <c r="AO64" s="81"/>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row>
    <row r="65" spans="1:69" s="192" customFormat="1">
      <c r="A65" s="81"/>
      <c r="B65" s="81"/>
      <c r="C65" s="201"/>
      <c r="D65" s="201"/>
      <c r="H65" s="202"/>
      <c r="I65" s="202"/>
      <c r="J65" s="202"/>
      <c r="O65" s="202"/>
      <c r="P65" s="202"/>
      <c r="Q65" s="202"/>
      <c r="S65" s="81"/>
      <c r="T65" s="81"/>
      <c r="U65" s="81"/>
      <c r="V65" s="81"/>
      <c r="W65" s="203"/>
      <c r="X65" s="81"/>
      <c r="Y65" s="81"/>
      <c r="Z65" s="81"/>
      <c r="AA65" s="81"/>
      <c r="AB65" s="81"/>
      <c r="AC65" s="81"/>
      <c r="AD65" s="81"/>
      <c r="AE65" s="81"/>
      <c r="AF65" s="81"/>
      <c r="AG65" s="81"/>
      <c r="AH65" s="81"/>
      <c r="AI65" s="81"/>
      <c r="AJ65" s="81"/>
      <c r="AK65" s="81"/>
      <c r="AL65" s="81"/>
      <c r="AM65" s="81"/>
      <c r="AN65" s="81"/>
      <c r="AO65" s="81"/>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row>
    <row r="66" spans="1:69" s="192" customFormat="1">
      <c r="A66" s="81"/>
      <c r="B66" s="81"/>
      <c r="C66" s="201"/>
      <c r="D66" s="201"/>
      <c r="H66" s="202"/>
      <c r="I66" s="202"/>
      <c r="J66" s="202"/>
      <c r="O66" s="202"/>
      <c r="P66" s="202"/>
      <c r="Q66" s="202"/>
      <c r="S66" s="81"/>
      <c r="T66" s="81"/>
      <c r="U66" s="81"/>
      <c r="V66" s="81"/>
      <c r="W66" s="203"/>
      <c r="X66" s="81"/>
      <c r="Y66" s="81"/>
      <c r="Z66" s="81"/>
      <c r="AA66" s="81"/>
      <c r="AB66" s="81"/>
      <c r="AC66" s="81"/>
      <c r="AD66" s="81"/>
      <c r="AE66" s="81"/>
      <c r="AF66" s="81"/>
      <c r="AG66" s="81"/>
      <c r="AH66" s="81"/>
      <c r="AI66" s="81"/>
      <c r="AJ66" s="81"/>
      <c r="AK66" s="81"/>
      <c r="AL66" s="81"/>
      <c r="AM66" s="81"/>
      <c r="AN66" s="81"/>
      <c r="AO66" s="81"/>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row>
    <row r="67" spans="1:69" s="192" customFormat="1">
      <c r="A67" s="81"/>
      <c r="B67" s="81"/>
      <c r="C67" s="201"/>
      <c r="D67" s="201"/>
      <c r="H67" s="202"/>
      <c r="I67" s="202"/>
      <c r="J67" s="202"/>
      <c r="O67" s="202"/>
      <c r="P67" s="202"/>
      <c r="Q67" s="202"/>
      <c r="S67" s="81"/>
      <c r="T67" s="81"/>
      <c r="U67" s="81"/>
      <c r="V67" s="81"/>
      <c r="W67" s="203"/>
      <c r="X67" s="81"/>
      <c r="Y67" s="81"/>
      <c r="Z67" s="81"/>
      <c r="AA67" s="81"/>
      <c r="AB67" s="81"/>
      <c r="AC67" s="81"/>
      <c r="AD67" s="81"/>
      <c r="AE67" s="81"/>
      <c r="AF67" s="81"/>
      <c r="AG67" s="81"/>
      <c r="AH67" s="81"/>
      <c r="AI67" s="81"/>
      <c r="AJ67" s="81"/>
      <c r="AK67" s="81"/>
      <c r="AL67" s="81"/>
      <c r="AM67" s="81"/>
      <c r="AN67" s="81"/>
      <c r="AO67" s="81"/>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row>
  </sheetData>
  <sortState ref="A2:AP37">
    <sortCondition ref="A2:A37"/>
    <sortCondition ref="H2:H37"/>
  </sortState>
  <phoneticPr fontId="3"/>
  <conditionalFormatting sqref="BA2:BA37 AU2:AU36">
    <cfRule type="cellIs" dxfId="3" priority="2" stopIfTrue="1" operator="lessThanOrEqual">
      <formula>12</formula>
    </cfRule>
  </conditionalFormatting>
  <conditionalFormatting sqref="BO2:BO36 BI2:BI36">
    <cfRule type="cellIs" dxfId="2" priority="1" stopIfTrue="1" operator="lessThanOrEqual">
      <formula>11</formula>
    </cfRule>
  </conditionalFormatting>
  <pageMargins left="0.23" right="0.2" top="0.98399999999999999" bottom="0.98399999999999999" header="0.51200000000000001" footer="0.51200000000000001"/>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AN59"/>
  <sheetViews>
    <sheetView workbookViewId="0">
      <pane xSplit="2" ySplit="1" topLeftCell="C17" activePane="bottomRight" state="frozen"/>
      <selection pane="topRight" activeCell="C1" sqref="C1"/>
      <selection pane="bottomLeft" activeCell="A2" sqref="A2"/>
      <selection pane="bottomRight" activeCell="A30" sqref="A30"/>
    </sheetView>
  </sheetViews>
  <sheetFormatPr defaultRowHeight="13.5"/>
  <cols>
    <col min="1" max="1" width="3.75" style="22" bestFit="1" customWidth="1"/>
    <col min="2" max="2" width="11.375" style="22" bestFit="1" customWidth="1"/>
    <col min="3" max="3" width="4.75" style="22" customWidth="1"/>
    <col min="4" max="4" width="5.125" style="22" customWidth="1"/>
    <col min="5" max="10" width="11.25" style="23" customWidth="1"/>
    <col min="11" max="12" width="11.25" style="24" customWidth="1"/>
    <col min="13" max="13" width="11.25" style="25" customWidth="1"/>
    <col min="14" max="14" width="9.625" style="25" customWidth="1"/>
    <col min="15" max="15" width="9.625" style="24" customWidth="1"/>
    <col min="16" max="16" width="11.25" style="26" customWidth="1"/>
    <col min="17" max="17" width="11.25" style="24" customWidth="1"/>
    <col min="18" max="18" width="11.25" style="25" customWidth="1"/>
    <col min="19" max="19" width="9.625" style="25" customWidth="1"/>
    <col min="20" max="20" width="11.25" style="24" customWidth="1"/>
    <col min="21" max="22" width="11.25" style="27" customWidth="1"/>
    <col min="23" max="23" width="7.125" style="30" customWidth="1"/>
    <col min="24" max="26" width="7.125" style="31" customWidth="1"/>
    <col min="27" max="37" width="7.125" customWidth="1"/>
    <col min="38" max="38" width="6.75" bestFit="1" customWidth="1"/>
  </cols>
  <sheetData>
    <row r="1" spans="1:40" s="6" customFormat="1">
      <c r="A1" s="1" t="s">
        <v>87</v>
      </c>
      <c r="B1" s="1" t="s">
        <v>88</v>
      </c>
      <c r="C1" s="1" t="s">
        <v>540</v>
      </c>
      <c r="D1" s="1" t="s">
        <v>294</v>
      </c>
      <c r="E1" s="1" t="s">
        <v>90</v>
      </c>
      <c r="F1" s="1" t="s">
        <v>541</v>
      </c>
      <c r="G1" s="1" t="s">
        <v>542</v>
      </c>
      <c r="H1" s="1" t="s">
        <v>543</v>
      </c>
      <c r="I1" s="1" t="s">
        <v>295</v>
      </c>
      <c r="J1" s="1" t="s">
        <v>296</v>
      </c>
      <c r="K1" s="2" t="s">
        <v>297</v>
      </c>
      <c r="L1" s="2" t="s">
        <v>298</v>
      </c>
      <c r="M1" s="3" t="s">
        <v>91</v>
      </c>
      <c r="N1" s="3" t="s">
        <v>92</v>
      </c>
      <c r="O1" s="2" t="s">
        <v>299</v>
      </c>
      <c r="P1" s="2" t="s">
        <v>300</v>
      </c>
      <c r="Q1" s="2" t="s">
        <v>301</v>
      </c>
      <c r="R1" s="3" t="s">
        <v>93</v>
      </c>
      <c r="S1" s="3" t="s">
        <v>94</v>
      </c>
      <c r="T1" s="2" t="s">
        <v>302</v>
      </c>
      <c r="U1" s="3" t="s">
        <v>240</v>
      </c>
      <c r="V1" s="3" t="s">
        <v>242</v>
      </c>
      <c r="W1" s="4" t="s">
        <v>95</v>
      </c>
      <c r="X1" s="5" t="s">
        <v>96</v>
      </c>
      <c r="Y1" s="5" t="s">
        <v>0</v>
      </c>
      <c r="Z1" s="5" t="s">
        <v>1</v>
      </c>
      <c r="AA1" s="128" t="s">
        <v>97</v>
      </c>
      <c r="AB1" s="1" t="s">
        <v>2</v>
      </c>
      <c r="AC1" s="1" t="s">
        <v>3</v>
      </c>
      <c r="AD1" s="1" t="s">
        <v>4</v>
      </c>
      <c r="AE1" s="1" t="s">
        <v>5</v>
      </c>
      <c r="AF1" s="128" t="s">
        <v>6</v>
      </c>
      <c r="AG1" s="1" t="s">
        <v>7</v>
      </c>
      <c r="AH1" s="1" t="s">
        <v>8</v>
      </c>
      <c r="AI1" s="1" t="s">
        <v>9</v>
      </c>
      <c r="AJ1" s="1" t="s">
        <v>10</v>
      </c>
      <c r="AK1" s="1" t="s">
        <v>11</v>
      </c>
      <c r="AL1" s="1" t="s">
        <v>12</v>
      </c>
      <c r="AM1" s="1" t="s">
        <v>98</v>
      </c>
      <c r="AN1" s="6" t="s">
        <v>105</v>
      </c>
    </row>
    <row r="2" spans="1:40" s="13" customFormat="1">
      <c r="A2" s="7"/>
      <c r="B2" s="7" t="s">
        <v>561</v>
      </c>
      <c r="C2" s="7"/>
      <c r="D2" s="7"/>
      <c r="E2" s="8"/>
      <c r="F2" s="8"/>
      <c r="G2" s="8"/>
      <c r="H2" s="8"/>
      <c r="I2" s="8"/>
      <c r="J2" s="8"/>
      <c r="K2" s="9"/>
      <c r="L2" s="9"/>
      <c r="M2" s="10"/>
      <c r="N2" s="10"/>
      <c r="O2" s="9"/>
      <c r="P2" s="9"/>
      <c r="Q2" s="9"/>
      <c r="R2" s="10"/>
      <c r="S2" s="10"/>
      <c r="T2" s="9"/>
      <c r="U2" s="11"/>
      <c r="V2" s="11"/>
      <c r="W2" s="12">
        <v>15</v>
      </c>
      <c r="X2" s="12">
        <v>15</v>
      </c>
      <c r="Y2" s="12">
        <v>5</v>
      </c>
      <c r="Z2" s="12">
        <v>5</v>
      </c>
      <c r="AA2" s="129">
        <v>10</v>
      </c>
      <c r="AB2" s="129">
        <v>8</v>
      </c>
      <c r="AC2" s="129">
        <v>4</v>
      </c>
      <c r="AD2" s="129">
        <v>7</v>
      </c>
      <c r="AE2" s="129">
        <v>7</v>
      </c>
      <c r="AF2" s="129">
        <v>4</v>
      </c>
      <c r="AG2" s="129">
        <v>2</v>
      </c>
      <c r="AH2" s="129">
        <v>6</v>
      </c>
      <c r="AI2" s="129">
        <v>4</v>
      </c>
      <c r="AJ2" s="129">
        <v>3</v>
      </c>
      <c r="AK2" s="129">
        <v>5</v>
      </c>
      <c r="AL2" s="129">
        <f>SUM(P2:AK2)</f>
        <v>100</v>
      </c>
      <c r="AM2" s="7"/>
    </row>
    <row r="3" spans="1:40">
      <c r="A3" s="14" t="s">
        <v>118</v>
      </c>
      <c r="B3" s="14" t="s">
        <v>13</v>
      </c>
      <c r="C3" s="14">
        <v>1</v>
      </c>
      <c r="D3" s="14" t="s">
        <v>544</v>
      </c>
      <c r="E3" s="15" t="s">
        <v>14</v>
      </c>
      <c r="F3" s="15" t="s">
        <v>303</v>
      </c>
      <c r="G3" s="15" t="s">
        <v>304</v>
      </c>
      <c r="H3" s="15" t="s">
        <v>305</v>
      </c>
      <c r="I3" s="15" t="s">
        <v>306</v>
      </c>
      <c r="J3" s="130"/>
      <c r="K3" s="16">
        <v>0.53472222222222221</v>
      </c>
      <c r="L3" s="16">
        <v>0.56146990740740743</v>
      </c>
      <c r="M3" s="17">
        <f t="shared" ref="M3:M34" si="0">L3-K3</f>
        <v>2.6747685185185222E-2</v>
      </c>
      <c r="N3" s="17">
        <f t="shared" ref="N3:N28" si="1">M3-MIN(TR1A)</f>
        <v>0</v>
      </c>
      <c r="O3" s="16">
        <v>0.65694444444444444</v>
      </c>
      <c r="P3" s="16">
        <v>0.27430555555555552</v>
      </c>
      <c r="Q3" s="16">
        <v>0.30185185185185187</v>
      </c>
      <c r="R3" s="17">
        <f t="shared" ref="R3:R34" si="2">Q3-P3</f>
        <v>2.7546296296296346E-2</v>
      </c>
      <c r="S3" s="17">
        <f t="shared" ref="S3:S28" si="3">R3-MIN(TR2A)</f>
        <v>0</v>
      </c>
      <c r="T3" s="16">
        <v>0.43671296296296297</v>
      </c>
      <c r="U3" s="18">
        <v>0.125</v>
      </c>
      <c r="V3" s="18">
        <v>0.16666666666666666</v>
      </c>
      <c r="W3" s="19">
        <f t="shared" ref="W3:W40" si="4">MAX(15-N3*60*24*0.5,0)</f>
        <v>15</v>
      </c>
      <c r="X3" s="19">
        <f t="shared" ref="X3:X40" si="5">MAX(15-S3*60*24*0.5,0)</f>
        <v>15</v>
      </c>
      <c r="Y3" s="19">
        <f t="shared" ref="Y3:Y20" si="6">MAX(MIN(5+(U3-(O3-K3))*60*24*0.25,5),0)</f>
        <v>5</v>
      </c>
      <c r="Z3" s="19">
        <f t="shared" ref="Z3:Z40" si="7">MAX(MIN(5+(V3-(T3-P3))*60*24*0.25,5),0)</f>
        <v>5</v>
      </c>
      <c r="AA3" s="131">
        <v>9</v>
      </c>
      <c r="AB3" s="131">
        <v>8</v>
      </c>
      <c r="AC3" s="131">
        <v>4</v>
      </c>
      <c r="AD3" s="131">
        <v>5.8</v>
      </c>
      <c r="AE3" s="131">
        <f>3+4</f>
        <v>7</v>
      </c>
      <c r="AF3" s="131">
        <v>3.5</v>
      </c>
      <c r="AG3" s="131">
        <v>1.8</v>
      </c>
      <c r="AH3" s="131">
        <v>6</v>
      </c>
      <c r="AI3" s="131">
        <v>3.5</v>
      </c>
      <c r="AJ3" s="131">
        <v>3</v>
      </c>
      <c r="AK3" s="131">
        <v>5</v>
      </c>
      <c r="AL3" s="131">
        <f t="shared" ref="AL3:AL34" si="8">SUM(W3:AK3)</f>
        <v>96.6</v>
      </c>
      <c r="AM3" s="14">
        <f t="shared" ref="AM3:AM12" si="9">RANK(AL3,TTLA)</f>
        <v>2</v>
      </c>
    </row>
    <row r="4" spans="1:40">
      <c r="A4" s="14" t="s">
        <v>118</v>
      </c>
      <c r="B4" s="14" t="s">
        <v>15</v>
      </c>
      <c r="C4" s="14">
        <v>2</v>
      </c>
      <c r="D4" s="14" t="s">
        <v>307</v>
      </c>
      <c r="E4" s="15" t="s">
        <v>16</v>
      </c>
      <c r="F4" s="15" t="s">
        <v>308</v>
      </c>
      <c r="G4" s="15" t="s">
        <v>309</v>
      </c>
      <c r="H4" s="15" t="s">
        <v>310</v>
      </c>
      <c r="I4" s="15" t="s">
        <v>311</v>
      </c>
      <c r="J4" s="130"/>
      <c r="K4" s="16">
        <v>0.53541666666666665</v>
      </c>
      <c r="L4" s="16">
        <v>0.57909722222222226</v>
      </c>
      <c r="M4" s="17">
        <f t="shared" si="0"/>
        <v>4.3680555555555611E-2</v>
      </c>
      <c r="N4" s="17">
        <f t="shared" si="1"/>
        <v>1.693287037037039E-2</v>
      </c>
      <c r="O4" s="16">
        <v>0.65694444444444444</v>
      </c>
      <c r="P4" s="16">
        <v>0.27916666666666667</v>
      </c>
      <c r="Q4" s="16">
        <v>0.31868055555555558</v>
      </c>
      <c r="R4" s="17">
        <f t="shared" si="2"/>
        <v>3.9513888888888904E-2</v>
      </c>
      <c r="S4" s="17">
        <f t="shared" si="3"/>
        <v>1.1967592592592557E-2</v>
      </c>
      <c r="T4" s="16">
        <v>0.44537037037037036</v>
      </c>
      <c r="U4" s="18">
        <v>0.125</v>
      </c>
      <c r="V4" s="18">
        <v>0.16666666666666666</v>
      </c>
      <c r="W4" s="19">
        <f t="shared" si="4"/>
        <v>2.8083333333333194</v>
      </c>
      <c r="X4" s="19">
        <f t="shared" si="5"/>
        <v>6.3833333333333577</v>
      </c>
      <c r="Y4" s="19">
        <f t="shared" si="6"/>
        <v>5</v>
      </c>
      <c r="Z4" s="19">
        <f t="shared" si="7"/>
        <v>5</v>
      </c>
      <c r="AA4" s="131">
        <f>10-0.2-0.8</f>
        <v>9</v>
      </c>
      <c r="AB4" s="131">
        <v>8</v>
      </c>
      <c r="AC4" s="131">
        <v>4</v>
      </c>
      <c r="AD4" s="131">
        <v>5</v>
      </c>
      <c r="AE4" s="131">
        <f>2+4</f>
        <v>6</v>
      </c>
      <c r="AF4" s="131">
        <v>3</v>
      </c>
      <c r="AG4" s="131">
        <v>1.6</v>
      </c>
      <c r="AH4" s="131">
        <v>6</v>
      </c>
      <c r="AI4" s="131">
        <v>1</v>
      </c>
      <c r="AJ4" s="131">
        <v>3</v>
      </c>
      <c r="AK4" s="131">
        <f>5-1</f>
        <v>4</v>
      </c>
      <c r="AL4" s="131">
        <f t="shared" si="8"/>
        <v>69.791666666666686</v>
      </c>
      <c r="AM4" s="14">
        <f t="shared" si="9"/>
        <v>6</v>
      </c>
    </row>
    <row r="5" spans="1:40">
      <c r="A5" s="14" t="s">
        <v>118</v>
      </c>
      <c r="B5" s="14" t="s">
        <v>17</v>
      </c>
      <c r="C5" s="14">
        <v>3</v>
      </c>
      <c r="D5" s="14" t="s">
        <v>312</v>
      </c>
      <c r="E5" s="15" t="s">
        <v>18</v>
      </c>
      <c r="F5" s="15" t="s">
        <v>313</v>
      </c>
      <c r="G5" s="15" t="s">
        <v>314</v>
      </c>
      <c r="H5" s="15" t="s">
        <v>315</v>
      </c>
      <c r="I5" s="15" t="s">
        <v>316</v>
      </c>
      <c r="J5" s="130"/>
      <c r="K5" s="16">
        <v>0.53611111111111109</v>
      </c>
      <c r="L5" s="16">
        <v>0.56939814814814815</v>
      </c>
      <c r="M5" s="17">
        <f t="shared" si="0"/>
        <v>3.3287037037037059E-2</v>
      </c>
      <c r="N5" s="17">
        <f t="shared" si="1"/>
        <v>6.5393518518518379E-3</v>
      </c>
      <c r="O5" s="16">
        <v>0.65347222222222223</v>
      </c>
      <c r="P5" s="16">
        <v>0.27638888888888885</v>
      </c>
      <c r="Q5" s="16">
        <v>0.31006944444444445</v>
      </c>
      <c r="R5" s="17">
        <f t="shared" si="2"/>
        <v>3.3680555555555602E-2</v>
      </c>
      <c r="S5" s="17">
        <f t="shared" si="3"/>
        <v>6.134259259259256E-3</v>
      </c>
      <c r="T5" s="16">
        <v>0.43981481481481483</v>
      </c>
      <c r="U5" s="18">
        <v>0.125</v>
      </c>
      <c r="V5" s="18">
        <v>0.16666666666666666</v>
      </c>
      <c r="W5" s="19">
        <f t="shared" si="4"/>
        <v>10.291666666666677</v>
      </c>
      <c r="X5" s="19">
        <f t="shared" si="5"/>
        <v>10.583333333333336</v>
      </c>
      <c r="Y5" s="19">
        <f t="shared" si="6"/>
        <v>5</v>
      </c>
      <c r="Z5" s="19">
        <f t="shared" si="7"/>
        <v>5</v>
      </c>
      <c r="AA5" s="131">
        <f>9.1-0.8</f>
        <v>8.2999999999999989</v>
      </c>
      <c r="AB5" s="131">
        <v>7.8</v>
      </c>
      <c r="AC5" s="131">
        <v>3.8</v>
      </c>
      <c r="AD5" s="131">
        <v>3.4</v>
      </c>
      <c r="AE5" s="131">
        <f>1+3</f>
        <v>4</v>
      </c>
      <c r="AF5" s="131">
        <v>4</v>
      </c>
      <c r="AG5" s="131">
        <v>1.8</v>
      </c>
      <c r="AH5" s="131">
        <v>5.6</v>
      </c>
      <c r="AI5" s="131">
        <v>3</v>
      </c>
      <c r="AJ5" s="131">
        <v>2.4</v>
      </c>
      <c r="AK5" s="131">
        <v>5</v>
      </c>
      <c r="AL5" s="131">
        <f t="shared" si="8"/>
        <v>79.975000000000009</v>
      </c>
      <c r="AM5" s="14">
        <f t="shared" si="9"/>
        <v>4</v>
      </c>
    </row>
    <row r="6" spans="1:40">
      <c r="A6" s="14" t="s">
        <v>118</v>
      </c>
      <c r="B6" s="14" t="s">
        <v>19</v>
      </c>
      <c r="C6" s="14">
        <v>4</v>
      </c>
      <c r="D6" s="14" t="s">
        <v>317</v>
      </c>
      <c r="E6" s="15" t="s">
        <v>20</v>
      </c>
      <c r="F6" s="15" t="s">
        <v>318</v>
      </c>
      <c r="G6" s="15" t="s">
        <v>319</v>
      </c>
      <c r="H6" s="15" t="s">
        <v>320</v>
      </c>
      <c r="I6" s="15" t="s">
        <v>321</v>
      </c>
      <c r="J6" s="130"/>
      <c r="K6" s="16">
        <v>0.53680555555555598</v>
      </c>
      <c r="L6" s="16">
        <v>0.5643055555555555</v>
      </c>
      <c r="M6" s="17">
        <f t="shared" si="0"/>
        <v>2.7499999999999525E-2</v>
      </c>
      <c r="N6" s="17">
        <f t="shared" si="1"/>
        <v>7.5231481481430329E-4</v>
      </c>
      <c r="O6" s="16">
        <v>0.65763888888888888</v>
      </c>
      <c r="P6" s="16">
        <v>0.27500000000000002</v>
      </c>
      <c r="Q6" s="16">
        <v>0.30303240740740739</v>
      </c>
      <c r="R6" s="17">
        <f t="shared" si="2"/>
        <v>2.8032407407407367E-2</v>
      </c>
      <c r="S6" s="17">
        <f t="shared" si="3"/>
        <v>4.8611111111102057E-4</v>
      </c>
      <c r="T6" s="16">
        <v>0.43350694444444443</v>
      </c>
      <c r="U6" s="18">
        <v>0.125</v>
      </c>
      <c r="V6" s="18">
        <v>0.16666666666666666</v>
      </c>
      <c r="W6" s="19">
        <f t="shared" si="4"/>
        <v>14.458333333333702</v>
      </c>
      <c r="X6" s="19">
        <f t="shared" si="5"/>
        <v>14.650000000000066</v>
      </c>
      <c r="Y6" s="19">
        <f t="shared" si="6"/>
        <v>5</v>
      </c>
      <c r="Z6" s="19">
        <f t="shared" si="7"/>
        <v>5</v>
      </c>
      <c r="AA6" s="131">
        <v>10</v>
      </c>
      <c r="AB6" s="131">
        <v>8</v>
      </c>
      <c r="AC6" s="131">
        <v>4</v>
      </c>
      <c r="AD6" s="131">
        <v>7</v>
      </c>
      <c r="AE6" s="131">
        <f>3+4</f>
        <v>7</v>
      </c>
      <c r="AF6" s="131">
        <v>3.5</v>
      </c>
      <c r="AG6" s="131">
        <v>1.6</v>
      </c>
      <c r="AH6" s="131">
        <v>6</v>
      </c>
      <c r="AI6" s="131">
        <v>2.5</v>
      </c>
      <c r="AJ6" s="131">
        <v>3</v>
      </c>
      <c r="AK6" s="131">
        <v>5</v>
      </c>
      <c r="AL6" s="131">
        <f t="shared" si="8"/>
        <v>96.708333333333769</v>
      </c>
      <c r="AM6" s="14">
        <f t="shared" si="9"/>
        <v>1</v>
      </c>
    </row>
    <row r="7" spans="1:40">
      <c r="A7" s="14" t="s">
        <v>118</v>
      </c>
      <c r="B7" s="14" t="s">
        <v>21</v>
      </c>
      <c r="C7" s="14">
        <v>5</v>
      </c>
      <c r="D7" s="14" t="s">
        <v>322</v>
      </c>
      <c r="E7" s="15" t="s">
        <v>22</v>
      </c>
      <c r="F7" s="15" t="s">
        <v>323</v>
      </c>
      <c r="G7" s="15" t="s">
        <v>324</v>
      </c>
      <c r="H7" s="15" t="s">
        <v>325</v>
      </c>
      <c r="I7" s="15" t="s">
        <v>326</v>
      </c>
      <c r="J7" s="130"/>
      <c r="K7" s="16">
        <v>0.53749999999999998</v>
      </c>
      <c r="L7" s="16">
        <v>0.56836805555555558</v>
      </c>
      <c r="M7" s="17">
        <f t="shared" si="0"/>
        <v>3.0868055555555607E-2</v>
      </c>
      <c r="N7" s="17">
        <f t="shared" si="1"/>
        <v>4.1203703703703853E-3</v>
      </c>
      <c r="O7" s="16">
        <v>0.65138888888888891</v>
      </c>
      <c r="P7" s="16">
        <v>0.27569444444444446</v>
      </c>
      <c r="Q7" s="16">
        <v>0.30861111111111111</v>
      </c>
      <c r="R7" s="17">
        <f t="shared" si="2"/>
        <v>3.291666666666665E-2</v>
      </c>
      <c r="S7" s="17">
        <f t="shared" si="3"/>
        <v>5.3703703703703032E-3</v>
      </c>
      <c r="T7" s="16">
        <v>0.42807870370370371</v>
      </c>
      <c r="U7" s="18">
        <v>0.125</v>
      </c>
      <c r="V7" s="18">
        <v>0.16666666666666666</v>
      </c>
      <c r="W7" s="19">
        <f t="shared" si="4"/>
        <v>12.033333333333323</v>
      </c>
      <c r="X7" s="19">
        <f t="shared" si="5"/>
        <v>11.133333333333383</v>
      </c>
      <c r="Y7" s="19">
        <f t="shared" si="6"/>
        <v>5</v>
      </c>
      <c r="Z7" s="19">
        <f t="shared" si="7"/>
        <v>5</v>
      </c>
      <c r="AA7" s="131">
        <v>9.6</v>
      </c>
      <c r="AB7" s="131">
        <v>8</v>
      </c>
      <c r="AC7" s="131">
        <v>4</v>
      </c>
      <c r="AD7" s="131">
        <v>3.1</v>
      </c>
      <c r="AE7" s="131">
        <f>3+3</f>
        <v>6</v>
      </c>
      <c r="AF7" s="131">
        <v>4</v>
      </c>
      <c r="AG7" s="131">
        <v>2</v>
      </c>
      <c r="AH7" s="131">
        <v>5.4</v>
      </c>
      <c r="AI7" s="131">
        <v>1.5</v>
      </c>
      <c r="AJ7" s="131">
        <v>2.4</v>
      </c>
      <c r="AK7" s="131">
        <v>5</v>
      </c>
      <c r="AL7" s="131">
        <f t="shared" si="8"/>
        <v>84.166666666666714</v>
      </c>
      <c r="AM7" s="14">
        <f t="shared" si="9"/>
        <v>3</v>
      </c>
    </row>
    <row r="8" spans="1:40">
      <c r="A8" s="14" t="s">
        <v>118</v>
      </c>
      <c r="B8" s="14" t="s">
        <v>23</v>
      </c>
      <c r="C8" s="14">
        <v>6</v>
      </c>
      <c r="D8" s="14" t="s">
        <v>327</v>
      </c>
      <c r="E8" s="15" t="s">
        <v>24</v>
      </c>
      <c r="F8" s="15" t="s">
        <v>328</v>
      </c>
      <c r="G8" s="15" t="s">
        <v>329</v>
      </c>
      <c r="H8" s="15" t="s">
        <v>330</v>
      </c>
      <c r="I8" s="15" t="s">
        <v>331</v>
      </c>
      <c r="J8" s="130"/>
      <c r="K8" s="16">
        <v>0.53819444444444398</v>
      </c>
      <c r="L8" s="16">
        <v>0.57821759259259264</v>
      </c>
      <c r="M8" s="17">
        <f t="shared" si="0"/>
        <v>4.0023148148148668E-2</v>
      </c>
      <c r="N8" s="17">
        <f t="shared" si="1"/>
        <v>1.3275462962963447E-2</v>
      </c>
      <c r="O8" s="16">
        <v>0.65486111111111112</v>
      </c>
      <c r="P8" s="16">
        <v>0.27777777777777779</v>
      </c>
      <c r="Q8" s="16">
        <v>0.31440972222222224</v>
      </c>
      <c r="R8" s="17">
        <f t="shared" si="2"/>
        <v>3.6631944444444453E-2</v>
      </c>
      <c r="S8" s="17">
        <f t="shared" si="3"/>
        <v>9.0856481481481066E-3</v>
      </c>
      <c r="T8" s="16">
        <v>0.42743055555555554</v>
      </c>
      <c r="U8" s="18">
        <v>0.125</v>
      </c>
      <c r="V8" s="18">
        <v>0.16666666666666666</v>
      </c>
      <c r="W8" s="19">
        <f t="shared" si="4"/>
        <v>5.4416666666663183</v>
      </c>
      <c r="X8" s="19">
        <f t="shared" si="5"/>
        <v>8.4583333333333641</v>
      </c>
      <c r="Y8" s="19">
        <f t="shared" si="6"/>
        <v>5</v>
      </c>
      <c r="Z8" s="19">
        <f t="shared" si="7"/>
        <v>5</v>
      </c>
      <c r="AA8" s="131">
        <f>10-0.8</f>
        <v>9.1999999999999993</v>
      </c>
      <c r="AB8" s="131">
        <v>7.4</v>
      </c>
      <c r="AC8" s="131">
        <v>3.1</v>
      </c>
      <c r="AD8" s="131">
        <v>1.1000000000000001</v>
      </c>
      <c r="AE8" s="131">
        <f>2+2</f>
        <v>4</v>
      </c>
      <c r="AF8" s="131">
        <v>1.5</v>
      </c>
      <c r="AG8" s="131">
        <v>1.8</v>
      </c>
      <c r="AH8" s="131">
        <v>3.8</v>
      </c>
      <c r="AI8" s="131">
        <v>1</v>
      </c>
      <c r="AJ8" s="131">
        <v>2.7</v>
      </c>
      <c r="AK8" s="131">
        <v>5</v>
      </c>
      <c r="AL8" s="131">
        <f t="shared" si="8"/>
        <v>64.499999999999687</v>
      </c>
      <c r="AM8" s="14">
        <f t="shared" si="9"/>
        <v>7</v>
      </c>
    </row>
    <row r="9" spans="1:40">
      <c r="A9" s="14" t="s">
        <v>118</v>
      </c>
      <c r="B9" s="14" t="s">
        <v>25</v>
      </c>
      <c r="C9" s="14">
        <v>7</v>
      </c>
      <c r="D9" s="14" t="s">
        <v>332</v>
      </c>
      <c r="E9" s="15" t="s">
        <v>26</v>
      </c>
      <c r="F9" s="15" t="s">
        <v>333</v>
      </c>
      <c r="G9" s="15" t="s">
        <v>334</v>
      </c>
      <c r="H9" s="15" t="s">
        <v>335</v>
      </c>
      <c r="I9" s="15" t="s">
        <v>336</v>
      </c>
      <c r="J9" s="130"/>
      <c r="K9" s="16">
        <v>0.53888888888888897</v>
      </c>
      <c r="L9" s="16">
        <v>0.58206018518518521</v>
      </c>
      <c r="M9" s="17">
        <f t="shared" si="0"/>
        <v>4.3171296296296235E-2</v>
      </c>
      <c r="N9" s="17">
        <f t="shared" si="1"/>
        <v>1.6423611111111014E-2</v>
      </c>
      <c r="O9" s="16">
        <v>0.65763888888888888</v>
      </c>
      <c r="P9" s="16">
        <v>0.27847222222222223</v>
      </c>
      <c r="Q9" s="16">
        <v>0.32304398148148145</v>
      </c>
      <c r="R9" s="17">
        <f t="shared" si="2"/>
        <v>4.4571759259259214E-2</v>
      </c>
      <c r="S9" s="17">
        <f t="shared" si="3"/>
        <v>1.7025462962962867E-2</v>
      </c>
      <c r="T9" s="16">
        <v>0.44502314814814814</v>
      </c>
      <c r="U9" s="18">
        <v>0.125</v>
      </c>
      <c r="V9" s="18">
        <v>0.16666666666666666</v>
      </c>
      <c r="W9" s="19">
        <f t="shared" si="4"/>
        <v>3.17500000000007</v>
      </c>
      <c r="X9" s="19">
        <f t="shared" si="5"/>
        <v>2.7416666666667346</v>
      </c>
      <c r="Y9" s="19">
        <f t="shared" si="6"/>
        <v>5</v>
      </c>
      <c r="Z9" s="19">
        <f t="shared" si="7"/>
        <v>5</v>
      </c>
      <c r="AA9" s="131">
        <v>8.8000000000000007</v>
      </c>
      <c r="AB9" s="131">
        <v>7.2</v>
      </c>
      <c r="AC9" s="131">
        <v>3.8</v>
      </c>
      <c r="AD9" s="131">
        <v>1.5</v>
      </c>
      <c r="AE9" s="131">
        <f>2+2</f>
        <v>4</v>
      </c>
      <c r="AF9" s="131">
        <v>2.5</v>
      </c>
      <c r="AG9" s="131">
        <v>1.6</v>
      </c>
      <c r="AH9" s="131">
        <v>5.2</v>
      </c>
      <c r="AI9" s="131">
        <v>1.5</v>
      </c>
      <c r="AJ9" s="131">
        <v>3</v>
      </c>
      <c r="AK9" s="131">
        <v>5</v>
      </c>
      <c r="AL9" s="131">
        <f t="shared" si="8"/>
        <v>60.016666666666808</v>
      </c>
      <c r="AM9" s="14">
        <f t="shared" si="9"/>
        <v>9</v>
      </c>
    </row>
    <row r="10" spans="1:40">
      <c r="A10" s="14" t="s">
        <v>118</v>
      </c>
      <c r="B10" s="14" t="s">
        <v>27</v>
      </c>
      <c r="C10" s="14">
        <v>8</v>
      </c>
      <c r="D10" s="14" t="s">
        <v>337</v>
      </c>
      <c r="E10" s="15" t="s">
        <v>28</v>
      </c>
      <c r="F10" s="15" t="s">
        <v>338</v>
      </c>
      <c r="G10" s="15" t="s">
        <v>339</v>
      </c>
      <c r="H10" s="15" t="s">
        <v>340</v>
      </c>
      <c r="I10" s="15" t="s">
        <v>341</v>
      </c>
      <c r="J10" s="130"/>
      <c r="K10" s="16">
        <v>0.53958333333333297</v>
      </c>
      <c r="L10" s="16">
        <v>0.58497685185185189</v>
      </c>
      <c r="M10" s="17">
        <f t="shared" si="0"/>
        <v>4.5393518518518916E-2</v>
      </c>
      <c r="N10" s="17">
        <f t="shared" si="1"/>
        <v>1.8645833333333695E-2</v>
      </c>
      <c r="O10" s="16">
        <v>0.65833333333333333</v>
      </c>
      <c r="P10" s="16">
        <v>0.27986111111111112</v>
      </c>
      <c r="Q10" s="16">
        <v>0.32138888888888889</v>
      </c>
      <c r="R10" s="17">
        <f t="shared" si="2"/>
        <v>4.1527777777777775E-2</v>
      </c>
      <c r="S10" s="17">
        <f t="shared" si="3"/>
        <v>1.3981481481481428E-2</v>
      </c>
      <c r="T10" s="16">
        <v>0.44259259259259259</v>
      </c>
      <c r="U10" s="18">
        <v>0.125</v>
      </c>
      <c r="V10" s="18">
        <v>0.16666666666666666</v>
      </c>
      <c r="W10" s="19">
        <f t="shared" si="4"/>
        <v>1.5749999999997399</v>
      </c>
      <c r="X10" s="19">
        <f t="shared" si="5"/>
        <v>4.9333333333333727</v>
      </c>
      <c r="Y10" s="19">
        <f t="shared" si="6"/>
        <v>5</v>
      </c>
      <c r="Z10" s="19">
        <f t="shared" si="7"/>
        <v>5</v>
      </c>
      <c r="AA10" s="131">
        <f>9.5-0.8</f>
        <v>8.6999999999999993</v>
      </c>
      <c r="AB10" s="131">
        <v>7.2</v>
      </c>
      <c r="AC10" s="131">
        <v>3.8</v>
      </c>
      <c r="AD10" s="131">
        <v>1.9</v>
      </c>
      <c r="AE10" s="131">
        <f>1+2</f>
        <v>3</v>
      </c>
      <c r="AF10" s="131">
        <v>3.5</v>
      </c>
      <c r="AG10" s="131">
        <v>1.8</v>
      </c>
      <c r="AH10" s="131">
        <v>5.2</v>
      </c>
      <c r="AI10" s="131">
        <v>2</v>
      </c>
      <c r="AJ10" s="131">
        <v>3</v>
      </c>
      <c r="AK10" s="131">
        <f>5-1</f>
        <v>4</v>
      </c>
      <c r="AL10" s="131">
        <f t="shared" si="8"/>
        <v>60.608333333333107</v>
      </c>
      <c r="AM10" s="14">
        <f t="shared" si="9"/>
        <v>8</v>
      </c>
    </row>
    <row r="11" spans="1:40">
      <c r="A11" s="14" t="s">
        <v>118</v>
      </c>
      <c r="B11" s="14" t="s">
        <v>29</v>
      </c>
      <c r="C11" s="14">
        <v>9</v>
      </c>
      <c r="D11" s="14" t="s">
        <v>342</v>
      </c>
      <c r="E11" s="20" t="s">
        <v>30</v>
      </c>
      <c r="F11" s="20" t="s">
        <v>343</v>
      </c>
      <c r="G11" s="20" t="s">
        <v>344</v>
      </c>
      <c r="H11" s="20" t="s">
        <v>345</v>
      </c>
      <c r="I11" s="20" t="s">
        <v>346</v>
      </c>
      <c r="J11" s="130"/>
      <c r="K11" s="16">
        <v>0.54027777777777797</v>
      </c>
      <c r="L11" s="16">
        <v>0.57668981481481485</v>
      </c>
      <c r="M11" s="17">
        <f t="shared" si="0"/>
        <v>3.6412037037036882E-2</v>
      </c>
      <c r="N11" s="17">
        <f t="shared" si="1"/>
        <v>9.6643518518516602E-3</v>
      </c>
      <c r="O11" s="16">
        <v>0.65555555555555556</v>
      </c>
      <c r="P11" s="16">
        <v>0.27708333333333335</v>
      </c>
      <c r="Q11" s="16">
        <v>0.31359953703703702</v>
      </c>
      <c r="R11" s="17">
        <f t="shared" si="2"/>
        <v>3.6516203703703676E-2</v>
      </c>
      <c r="S11" s="17">
        <f t="shared" si="3"/>
        <v>8.9699074074073293E-3</v>
      </c>
      <c r="T11" s="16">
        <v>0.43396990740740743</v>
      </c>
      <c r="U11" s="18">
        <v>0.125</v>
      </c>
      <c r="V11" s="18">
        <v>0.16666666666666666</v>
      </c>
      <c r="W11" s="19">
        <f t="shared" si="4"/>
        <v>8.0416666666668046</v>
      </c>
      <c r="X11" s="19">
        <f t="shared" si="5"/>
        <v>8.5416666666667229</v>
      </c>
      <c r="Y11" s="19">
        <f t="shared" si="6"/>
        <v>5</v>
      </c>
      <c r="Z11" s="19">
        <f t="shared" si="7"/>
        <v>5</v>
      </c>
      <c r="AA11" s="131">
        <f>9.5-0.8</f>
        <v>8.6999999999999993</v>
      </c>
      <c r="AB11" s="131">
        <v>8</v>
      </c>
      <c r="AC11" s="131">
        <v>4</v>
      </c>
      <c r="AD11" s="131">
        <v>1.2</v>
      </c>
      <c r="AE11" s="131">
        <f>2+4</f>
        <v>6</v>
      </c>
      <c r="AF11" s="131">
        <v>4</v>
      </c>
      <c r="AG11" s="131">
        <v>1.8</v>
      </c>
      <c r="AH11" s="131">
        <v>5.8</v>
      </c>
      <c r="AI11" s="131">
        <v>2.5</v>
      </c>
      <c r="AJ11" s="131">
        <v>3</v>
      </c>
      <c r="AK11" s="131">
        <v>5</v>
      </c>
      <c r="AL11" s="131">
        <f t="shared" si="8"/>
        <v>76.583333333333528</v>
      </c>
      <c r="AM11" s="14">
        <f t="shared" si="9"/>
        <v>5</v>
      </c>
    </row>
    <row r="12" spans="1:40">
      <c r="A12" s="14" t="s">
        <v>118</v>
      </c>
      <c r="B12" s="14" t="s">
        <v>31</v>
      </c>
      <c r="C12" s="14">
        <v>11</v>
      </c>
      <c r="D12" s="14" t="s">
        <v>347</v>
      </c>
      <c r="E12" s="21" t="s">
        <v>32</v>
      </c>
      <c r="F12" s="21" t="s">
        <v>348</v>
      </c>
      <c r="G12" s="21" t="s">
        <v>349</v>
      </c>
      <c r="H12" s="21" t="s">
        <v>350</v>
      </c>
      <c r="I12" s="21" t="s">
        <v>351</v>
      </c>
      <c r="J12" s="130"/>
      <c r="K12" s="16">
        <v>0.54097222222222197</v>
      </c>
      <c r="L12" s="16">
        <v>0.58898148148148144</v>
      </c>
      <c r="M12" s="17">
        <f t="shared" si="0"/>
        <v>4.8009259259259474E-2</v>
      </c>
      <c r="N12" s="17">
        <f t="shared" si="1"/>
        <v>2.1261574074074252E-2</v>
      </c>
      <c r="O12" s="16">
        <v>0.6645833333333333</v>
      </c>
      <c r="P12" s="16">
        <v>0.28055555555555556</v>
      </c>
      <c r="Q12" s="16">
        <v>0.32270833333333332</v>
      </c>
      <c r="R12" s="17">
        <f t="shared" si="2"/>
        <v>4.2152777777777761E-2</v>
      </c>
      <c r="S12" s="17">
        <f t="shared" si="3"/>
        <v>1.4606481481481415E-2</v>
      </c>
      <c r="T12" s="16">
        <v>0.44623842592592594</v>
      </c>
      <c r="U12" s="18">
        <v>0.125</v>
      </c>
      <c r="V12" s="18">
        <v>0.16666666666666666</v>
      </c>
      <c r="W12" s="19">
        <f t="shared" si="4"/>
        <v>0</v>
      </c>
      <c r="X12" s="19">
        <f t="shared" si="5"/>
        <v>4.4833333333333805</v>
      </c>
      <c r="Y12" s="19">
        <f t="shared" si="6"/>
        <v>5</v>
      </c>
      <c r="Z12" s="19">
        <f t="shared" si="7"/>
        <v>5</v>
      </c>
      <c r="AA12" s="131">
        <f>8-0.8</f>
        <v>7.2</v>
      </c>
      <c r="AB12" s="131">
        <v>7.6</v>
      </c>
      <c r="AC12" s="131">
        <v>3.8</v>
      </c>
      <c r="AD12" s="131">
        <v>0.5</v>
      </c>
      <c r="AE12" s="131">
        <f>2+3</f>
        <v>5</v>
      </c>
      <c r="AF12" s="131">
        <v>2.5</v>
      </c>
      <c r="AG12" s="131">
        <v>1.6</v>
      </c>
      <c r="AH12" s="131">
        <v>4.8</v>
      </c>
      <c r="AI12" s="131">
        <v>2.5</v>
      </c>
      <c r="AJ12" s="131">
        <v>3</v>
      </c>
      <c r="AK12" s="131">
        <f>5-1-0.5</f>
        <v>3.5</v>
      </c>
      <c r="AL12" s="131">
        <f t="shared" si="8"/>
        <v>56.483333333333377</v>
      </c>
      <c r="AM12" s="14">
        <f t="shared" si="9"/>
        <v>10</v>
      </c>
    </row>
    <row r="13" spans="1:40">
      <c r="A13" s="14" t="s">
        <v>119</v>
      </c>
      <c r="B13" s="14" t="s">
        <v>33</v>
      </c>
      <c r="C13" s="14">
        <v>31</v>
      </c>
      <c r="D13" s="14" t="s">
        <v>352</v>
      </c>
      <c r="E13" s="20" t="s">
        <v>34</v>
      </c>
      <c r="F13" s="20" t="s">
        <v>353</v>
      </c>
      <c r="G13" s="20" t="s">
        <v>354</v>
      </c>
      <c r="H13" s="20" t="s">
        <v>355</v>
      </c>
      <c r="I13" s="20" t="s">
        <v>356</v>
      </c>
      <c r="J13" s="130"/>
      <c r="K13" s="16">
        <v>0.54166666666666696</v>
      </c>
      <c r="L13" s="16">
        <v>0.58531250000000001</v>
      </c>
      <c r="M13" s="17">
        <f t="shared" si="0"/>
        <v>4.3645833333333051E-2</v>
      </c>
      <c r="N13" s="17">
        <f t="shared" si="1"/>
        <v>1.6898148148147829E-2</v>
      </c>
      <c r="O13" s="16">
        <v>0.65625</v>
      </c>
      <c r="P13" s="16">
        <v>0.28958333333333336</v>
      </c>
      <c r="Q13" s="16">
        <v>0.3336689814814815</v>
      </c>
      <c r="R13" s="17">
        <f t="shared" si="2"/>
        <v>4.4085648148148138E-2</v>
      </c>
      <c r="S13" s="17">
        <f t="shared" si="3"/>
        <v>1.6539351851851791E-2</v>
      </c>
      <c r="T13" s="16">
        <v>0.44866898148148149</v>
      </c>
      <c r="U13" s="18">
        <v>0.125</v>
      </c>
      <c r="V13" s="18">
        <v>0.16666666666666666</v>
      </c>
      <c r="W13" s="19">
        <f t="shared" si="4"/>
        <v>2.8333333333335631</v>
      </c>
      <c r="X13" s="19">
        <f t="shared" si="5"/>
        <v>3.0916666666667112</v>
      </c>
      <c r="Y13" s="19">
        <f t="shared" si="6"/>
        <v>5</v>
      </c>
      <c r="Z13" s="19">
        <f t="shared" si="7"/>
        <v>5</v>
      </c>
      <c r="AA13" s="131">
        <f>9-0.6</f>
        <v>8.4</v>
      </c>
      <c r="AB13" s="131">
        <v>4</v>
      </c>
      <c r="AC13" s="131">
        <v>4</v>
      </c>
      <c r="AD13" s="131">
        <v>0.7</v>
      </c>
      <c r="AE13" s="131">
        <f>1+1</f>
        <v>2</v>
      </c>
      <c r="AF13" s="131">
        <v>3</v>
      </c>
      <c r="AG13" s="131">
        <v>1.6</v>
      </c>
      <c r="AH13" s="131">
        <v>5.2</v>
      </c>
      <c r="AI13" s="131">
        <v>0</v>
      </c>
      <c r="AJ13" s="131">
        <v>3</v>
      </c>
      <c r="AK13" s="131">
        <f>5-1</f>
        <v>4</v>
      </c>
      <c r="AL13" s="131">
        <f t="shared" si="8"/>
        <v>51.82500000000028</v>
      </c>
      <c r="AM13" s="14">
        <f t="shared" ref="AM13:AM28" si="10">RANK(AL13,TTLB)</f>
        <v>11</v>
      </c>
    </row>
    <row r="14" spans="1:40">
      <c r="A14" s="14" t="s">
        <v>119</v>
      </c>
      <c r="B14" s="14" t="s">
        <v>19</v>
      </c>
      <c r="C14" s="14">
        <v>32</v>
      </c>
      <c r="D14" s="14" t="s">
        <v>357</v>
      </c>
      <c r="E14" s="15" t="s">
        <v>20</v>
      </c>
      <c r="F14" s="15" t="s">
        <v>358</v>
      </c>
      <c r="G14" s="15" t="s">
        <v>359</v>
      </c>
      <c r="H14" s="15" t="s">
        <v>360</v>
      </c>
      <c r="I14" s="15" t="s">
        <v>361</v>
      </c>
      <c r="J14" s="15" t="s">
        <v>362</v>
      </c>
      <c r="K14" s="16">
        <v>0.54236111111111096</v>
      </c>
      <c r="L14" s="16">
        <v>0.57381944444444444</v>
      </c>
      <c r="M14" s="17">
        <f t="shared" si="0"/>
        <v>3.1458333333333477E-2</v>
      </c>
      <c r="N14" s="17">
        <f t="shared" si="1"/>
        <v>4.7106481481482554E-3</v>
      </c>
      <c r="O14" s="16">
        <v>0.66319444444444442</v>
      </c>
      <c r="P14" s="16">
        <v>0.28263888888888888</v>
      </c>
      <c r="Q14" s="16">
        <v>0.31466435185185188</v>
      </c>
      <c r="R14" s="17">
        <f t="shared" si="2"/>
        <v>3.2025462962962992E-2</v>
      </c>
      <c r="S14" s="17">
        <f t="shared" si="3"/>
        <v>4.4791666666666452E-3</v>
      </c>
      <c r="T14" s="16">
        <v>0.44004629629629632</v>
      </c>
      <c r="U14" s="18">
        <v>0.125</v>
      </c>
      <c r="V14" s="18">
        <v>0.16666666666666666</v>
      </c>
      <c r="W14" s="19">
        <f t="shared" si="4"/>
        <v>11.608333333333256</v>
      </c>
      <c r="X14" s="19">
        <f t="shared" si="5"/>
        <v>11.775000000000016</v>
      </c>
      <c r="Y14" s="19">
        <f t="shared" si="6"/>
        <v>5</v>
      </c>
      <c r="Z14" s="19">
        <f t="shared" si="7"/>
        <v>5</v>
      </c>
      <c r="AA14" s="131">
        <v>9.5</v>
      </c>
      <c r="AB14" s="131">
        <v>7.5</v>
      </c>
      <c r="AC14" s="131">
        <v>3.8</v>
      </c>
      <c r="AD14" s="131">
        <v>5.6</v>
      </c>
      <c r="AE14" s="131">
        <f>3+4</f>
        <v>7</v>
      </c>
      <c r="AF14" s="131">
        <v>3.5</v>
      </c>
      <c r="AG14" s="131">
        <v>1.8</v>
      </c>
      <c r="AH14" s="131">
        <v>6</v>
      </c>
      <c r="AI14" s="131">
        <v>2.5</v>
      </c>
      <c r="AJ14" s="131">
        <v>3</v>
      </c>
      <c r="AK14" s="131">
        <v>5</v>
      </c>
      <c r="AL14" s="131">
        <f t="shared" si="8"/>
        <v>88.583333333333272</v>
      </c>
      <c r="AM14" s="14">
        <f t="shared" si="10"/>
        <v>2</v>
      </c>
    </row>
    <row r="15" spans="1:40">
      <c r="A15" s="14" t="s">
        <v>119</v>
      </c>
      <c r="B15" s="14" t="s">
        <v>545</v>
      </c>
      <c r="C15" s="14">
        <v>33</v>
      </c>
      <c r="D15" s="14" t="s">
        <v>363</v>
      </c>
      <c r="E15" s="15" t="s">
        <v>35</v>
      </c>
      <c r="F15" s="15" t="s">
        <v>364</v>
      </c>
      <c r="G15" s="15" t="s">
        <v>365</v>
      </c>
      <c r="H15" s="15" t="s">
        <v>366</v>
      </c>
      <c r="I15" s="15" t="s">
        <v>367</v>
      </c>
      <c r="J15" s="130"/>
      <c r="K15" s="16">
        <v>0.54305555555555596</v>
      </c>
      <c r="L15" s="16">
        <v>0.58539351851851851</v>
      </c>
      <c r="M15" s="17">
        <f t="shared" si="0"/>
        <v>4.233796296296255E-2</v>
      </c>
      <c r="N15" s="17">
        <f t="shared" si="1"/>
        <v>1.5590277777777328E-2</v>
      </c>
      <c r="O15" s="16">
        <v>0.65833333333333333</v>
      </c>
      <c r="P15" s="16">
        <v>0.28749999999999998</v>
      </c>
      <c r="Q15" s="16">
        <v>0.33013888888888893</v>
      </c>
      <c r="R15" s="17">
        <f t="shared" si="2"/>
        <v>4.2638888888888948E-2</v>
      </c>
      <c r="S15" s="17">
        <f t="shared" si="3"/>
        <v>1.5092592592592602E-2</v>
      </c>
      <c r="T15" s="16">
        <v>0.45200231481481484</v>
      </c>
      <c r="U15" s="18">
        <v>0.125</v>
      </c>
      <c r="V15" s="18">
        <v>0.16666666666666666</v>
      </c>
      <c r="W15" s="19">
        <f t="shared" si="4"/>
        <v>3.7750000000003237</v>
      </c>
      <c r="X15" s="19">
        <f t="shared" si="5"/>
        <v>4.1333333333333258</v>
      </c>
      <c r="Y15" s="19">
        <f t="shared" si="6"/>
        <v>5</v>
      </c>
      <c r="Z15" s="19">
        <f t="shared" si="7"/>
        <v>5</v>
      </c>
      <c r="AA15" s="131">
        <f>5.8-0.8</f>
        <v>5</v>
      </c>
      <c r="AB15" s="131">
        <v>6</v>
      </c>
      <c r="AC15" s="131">
        <v>3.5</v>
      </c>
      <c r="AD15" s="131">
        <v>2.1</v>
      </c>
      <c r="AE15" s="131">
        <f>2+0</f>
        <v>2</v>
      </c>
      <c r="AF15" s="131">
        <v>0</v>
      </c>
      <c r="AG15" s="131">
        <v>1.8</v>
      </c>
      <c r="AH15" s="131">
        <v>3</v>
      </c>
      <c r="AI15" s="131">
        <v>0</v>
      </c>
      <c r="AJ15" s="131">
        <v>1.8</v>
      </c>
      <c r="AK15" s="131">
        <v>5</v>
      </c>
      <c r="AL15" s="131">
        <f t="shared" si="8"/>
        <v>48.108333333333647</v>
      </c>
      <c r="AM15" s="14">
        <f t="shared" si="10"/>
        <v>13</v>
      </c>
    </row>
    <row r="16" spans="1:40">
      <c r="A16" s="14" t="s">
        <v>119</v>
      </c>
      <c r="B16" s="14" t="s">
        <v>21</v>
      </c>
      <c r="C16" s="14">
        <v>34</v>
      </c>
      <c r="D16" s="14" t="s">
        <v>368</v>
      </c>
      <c r="E16" s="15" t="s">
        <v>36</v>
      </c>
      <c r="F16" s="15" t="s">
        <v>369</v>
      </c>
      <c r="G16" s="15" t="s">
        <v>370</v>
      </c>
      <c r="H16" s="15" t="s">
        <v>371</v>
      </c>
      <c r="I16" s="15" t="s">
        <v>372</v>
      </c>
      <c r="J16" s="15" t="s">
        <v>373</v>
      </c>
      <c r="K16" s="16">
        <v>0.54374999999999996</v>
      </c>
      <c r="L16" s="16">
        <v>0.57869212962962957</v>
      </c>
      <c r="M16" s="17">
        <f t="shared" si="0"/>
        <v>3.4942129629629615E-2</v>
      </c>
      <c r="N16" s="17">
        <f t="shared" si="1"/>
        <v>8.1944444444443931E-3</v>
      </c>
      <c r="O16" s="16">
        <v>0.65972222222222221</v>
      </c>
      <c r="P16" s="16">
        <v>0.28402777777777777</v>
      </c>
      <c r="Q16" s="16">
        <v>0.3198611111111111</v>
      </c>
      <c r="R16" s="17">
        <f t="shared" si="2"/>
        <v>3.5833333333333328E-2</v>
      </c>
      <c r="S16" s="17">
        <f t="shared" si="3"/>
        <v>8.2870370370369817E-3</v>
      </c>
      <c r="T16" s="16">
        <v>0.44398148148148148</v>
      </c>
      <c r="U16" s="18">
        <v>0.125</v>
      </c>
      <c r="V16" s="18">
        <v>0.16666666666666666</v>
      </c>
      <c r="W16" s="19">
        <f t="shared" si="4"/>
        <v>9.1000000000000369</v>
      </c>
      <c r="X16" s="19">
        <f t="shared" si="5"/>
        <v>9.0333333333333741</v>
      </c>
      <c r="Y16" s="19">
        <f t="shared" si="6"/>
        <v>5</v>
      </c>
      <c r="Z16" s="19">
        <f t="shared" si="7"/>
        <v>5</v>
      </c>
      <c r="AA16" s="131">
        <f>8-0.2</f>
        <v>7.8</v>
      </c>
      <c r="AB16" s="131">
        <v>7.1</v>
      </c>
      <c r="AC16" s="131">
        <v>4</v>
      </c>
      <c r="AD16" s="131">
        <v>0</v>
      </c>
      <c r="AE16" s="131">
        <f>3+3</f>
        <v>6</v>
      </c>
      <c r="AF16" s="131">
        <v>1.5</v>
      </c>
      <c r="AG16" s="131">
        <v>1.6</v>
      </c>
      <c r="AH16" s="131">
        <v>5</v>
      </c>
      <c r="AI16" s="131">
        <v>1</v>
      </c>
      <c r="AJ16" s="131">
        <v>3</v>
      </c>
      <c r="AK16" s="131">
        <v>5</v>
      </c>
      <c r="AL16" s="131">
        <f t="shared" si="8"/>
        <v>70.133333333333411</v>
      </c>
      <c r="AM16" s="14">
        <f t="shared" si="10"/>
        <v>5</v>
      </c>
    </row>
    <row r="17" spans="1:39">
      <c r="A17" s="14" t="s">
        <v>119</v>
      </c>
      <c r="B17" s="14" t="s">
        <v>546</v>
      </c>
      <c r="C17" s="14">
        <v>35</v>
      </c>
      <c r="D17" s="14" t="s">
        <v>374</v>
      </c>
      <c r="E17" s="15" t="s">
        <v>37</v>
      </c>
      <c r="F17" s="15" t="s">
        <v>375</v>
      </c>
      <c r="G17" s="15" t="s">
        <v>376</v>
      </c>
      <c r="H17" s="15" t="s">
        <v>377</v>
      </c>
      <c r="I17" s="130"/>
      <c r="J17" s="130"/>
      <c r="K17" s="16">
        <v>0.54444444444444395</v>
      </c>
      <c r="L17" s="16">
        <v>0.58188657407407407</v>
      </c>
      <c r="M17" s="17">
        <f t="shared" si="0"/>
        <v>3.7442129629630116E-2</v>
      </c>
      <c r="N17" s="17">
        <f t="shared" si="1"/>
        <v>1.0694444444444895E-2</v>
      </c>
      <c r="O17" s="16">
        <v>0.64722222222222225</v>
      </c>
      <c r="P17" s="16">
        <v>0.28611111111111115</v>
      </c>
      <c r="Q17" s="16">
        <v>0.3271412037037037</v>
      </c>
      <c r="R17" s="17">
        <f t="shared" si="2"/>
        <v>4.1030092592592549E-2</v>
      </c>
      <c r="S17" s="17">
        <f t="shared" si="3"/>
        <v>1.3483796296296202E-2</v>
      </c>
      <c r="T17" s="16">
        <v>0.4550925925925926</v>
      </c>
      <c r="U17" s="18">
        <v>0.125</v>
      </c>
      <c r="V17" s="18">
        <v>0.16666666666666666</v>
      </c>
      <c r="W17" s="19">
        <f t="shared" si="4"/>
        <v>7.2999999999996756</v>
      </c>
      <c r="X17" s="19">
        <f t="shared" si="5"/>
        <v>5.2916666666667354</v>
      </c>
      <c r="Y17" s="19">
        <f t="shared" si="6"/>
        <v>5</v>
      </c>
      <c r="Z17" s="19">
        <f t="shared" si="7"/>
        <v>4.1666666666666732</v>
      </c>
      <c r="AA17" s="131">
        <f>5.5-0.4</f>
        <v>5.0999999999999996</v>
      </c>
      <c r="AB17" s="131">
        <v>6</v>
      </c>
      <c r="AC17" s="131">
        <v>2.1</v>
      </c>
      <c r="AD17" s="131">
        <v>2.9</v>
      </c>
      <c r="AE17" s="131">
        <f>1+4</f>
        <v>5</v>
      </c>
      <c r="AF17" s="131">
        <v>4</v>
      </c>
      <c r="AG17" s="131">
        <v>2</v>
      </c>
      <c r="AH17" s="131">
        <v>4.4000000000000004</v>
      </c>
      <c r="AI17" s="131">
        <v>0.5</v>
      </c>
      <c r="AJ17" s="131">
        <v>1.8</v>
      </c>
      <c r="AK17" s="131">
        <f>5-1-1</f>
        <v>3</v>
      </c>
      <c r="AL17" s="131">
        <f t="shared" si="8"/>
        <v>58.558333333333081</v>
      </c>
      <c r="AM17" s="14">
        <f t="shared" si="10"/>
        <v>10</v>
      </c>
    </row>
    <row r="18" spans="1:39">
      <c r="A18" s="14" t="s">
        <v>119</v>
      </c>
      <c r="B18" s="14" t="s">
        <v>547</v>
      </c>
      <c r="C18" s="14">
        <v>36</v>
      </c>
      <c r="D18" s="14" t="s">
        <v>378</v>
      </c>
      <c r="E18" s="15" t="s">
        <v>14</v>
      </c>
      <c r="F18" s="15" t="s">
        <v>379</v>
      </c>
      <c r="G18" s="15" t="s">
        <v>380</v>
      </c>
      <c r="H18" s="15" t="s">
        <v>381</v>
      </c>
      <c r="I18" s="15" t="s">
        <v>382</v>
      </c>
      <c r="J18" s="130"/>
      <c r="K18" s="16">
        <v>0.54513888888888895</v>
      </c>
      <c r="L18" s="16">
        <v>0.57495370370370369</v>
      </c>
      <c r="M18" s="17">
        <f t="shared" si="0"/>
        <v>2.9814814814814738E-2</v>
      </c>
      <c r="N18" s="17">
        <f t="shared" si="1"/>
        <v>3.067129629629517E-3</v>
      </c>
      <c r="O18" s="16">
        <v>0.66249999999999998</v>
      </c>
      <c r="P18" s="16">
        <v>0.28125</v>
      </c>
      <c r="Q18" s="16">
        <v>0.3089351851851852</v>
      </c>
      <c r="R18" s="17">
        <f t="shared" si="2"/>
        <v>2.7685185185185202E-2</v>
      </c>
      <c r="S18" s="17">
        <f t="shared" si="3"/>
        <v>1.3888888888885509E-4</v>
      </c>
      <c r="T18" s="16">
        <v>0.44592592592592589</v>
      </c>
      <c r="U18" s="18">
        <v>0.125</v>
      </c>
      <c r="V18" s="18">
        <v>0.16666666666666666</v>
      </c>
      <c r="W18" s="19">
        <f t="shared" si="4"/>
        <v>12.791666666666748</v>
      </c>
      <c r="X18" s="19">
        <f t="shared" si="5"/>
        <v>14.900000000000023</v>
      </c>
      <c r="Y18" s="19">
        <f t="shared" si="6"/>
        <v>5</v>
      </c>
      <c r="Z18" s="19">
        <f t="shared" si="7"/>
        <v>5</v>
      </c>
      <c r="AA18" s="131">
        <f>10-1</f>
        <v>9</v>
      </c>
      <c r="AB18" s="131">
        <v>8</v>
      </c>
      <c r="AC18" s="131">
        <v>4</v>
      </c>
      <c r="AD18" s="131">
        <v>5</v>
      </c>
      <c r="AE18" s="131">
        <f>3+4</f>
        <v>7</v>
      </c>
      <c r="AF18" s="131">
        <v>3.5</v>
      </c>
      <c r="AG18" s="131">
        <v>1.6</v>
      </c>
      <c r="AH18" s="131">
        <v>5.8</v>
      </c>
      <c r="AI18" s="131">
        <v>3.5</v>
      </c>
      <c r="AJ18" s="131">
        <v>3</v>
      </c>
      <c r="AK18" s="131">
        <v>5</v>
      </c>
      <c r="AL18" s="131">
        <f t="shared" si="8"/>
        <v>93.091666666666768</v>
      </c>
      <c r="AM18" s="14">
        <f t="shared" si="10"/>
        <v>1</v>
      </c>
    </row>
    <row r="19" spans="1:39">
      <c r="A19" s="14" t="s">
        <v>119</v>
      </c>
      <c r="B19" s="14" t="s">
        <v>38</v>
      </c>
      <c r="C19" s="14">
        <v>37</v>
      </c>
      <c r="D19" s="14" t="s">
        <v>383</v>
      </c>
      <c r="E19" s="15" t="s">
        <v>39</v>
      </c>
      <c r="F19" s="15" t="s">
        <v>384</v>
      </c>
      <c r="G19" s="15" t="s">
        <v>385</v>
      </c>
      <c r="H19" s="15" t="s">
        <v>386</v>
      </c>
      <c r="I19" s="15" t="s">
        <v>387</v>
      </c>
      <c r="J19" s="130"/>
      <c r="K19" s="16">
        <v>0.54583333333333295</v>
      </c>
      <c r="L19" s="16">
        <v>0.58938657407407413</v>
      </c>
      <c r="M19" s="17">
        <f t="shared" si="0"/>
        <v>4.3553240740741184E-2</v>
      </c>
      <c r="N19" s="17">
        <f t="shared" si="1"/>
        <v>1.6805555555555962E-2</v>
      </c>
      <c r="O19" s="16">
        <v>0.66111111111111109</v>
      </c>
      <c r="P19" s="16">
        <v>0.28888888888888892</v>
      </c>
      <c r="Q19" s="16">
        <v>0.33295138888888892</v>
      </c>
      <c r="R19" s="17">
        <f t="shared" si="2"/>
        <v>4.4062500000000004E-2</v>
      </c>
      <c r="S19" s="17">
        <f t="shared" si="3"/>
        <v>1.6516203703703658E-2</v>
      </c>
      <c r="T19" s="16">
        <v>0.43275462962962963</v>
      </c>
      <c r="U19" s="18">
        <v>0.125</v>
      </c>
      <c r="V19" s="18">
        <v>0.16666666666666666</v>
      </c>
      <c r="W19" s="19">
        <f t="shared" si="4"/>
        <v>2.8999999999997073</v>
      </c>
      <c r="X19" s="19">
        <f t="shared" si="5"/>
        <v>3.1083333333333663</v>
      </c>
      <c r="Y19" s="19">
        <f t="shared" si="6"/>
        <v>5</v>
      </c>
      <c r="Z19" s="19">
        <f t="shared" si="7"/>
        <v>5</v>
      </c>
      <c r="AA19" s="131">
        <f>5.5-0.6</f>
        <v>4.9000000000000004</v>
      </c>
      <c r="AB19" s="131">
        <v>5.4</v>
      </c>
      <c r="AC19" s="131">
        <v>2.1</v>
      </c>
      <c r="AD19" s="131">
        <v>1.5</v>
      </c>
      <c r="AE19" s="131">
        <f>0+0</f>
        <v>0</v>
      </c>
      <c r="AF19" s="131">
        <v>0.5</v>
      </c>
      <c r="AG19" s="131">
        <v>1.6</v>
      </c>
      <c r="AH19" s="131">
        <v>4</v>
      </c>
      <c r="AI19" s="131">
        <v>0.5</v>
      </c>
      <c r="AJ19" s="131">
        <v>1.2</v>
      </c>
      <c r="AK19" s="131">
        <v>5</v>
      </c>
      <c r="AL19" s="131">
        <f t="shared" si="8"/>
        <v>42.70833333333308</v>
      </c>
      <c r="AM19" s="14">
        <f t="shared" si="10"/>
        <v>15</v>
      </c>
    </row>
    <row r="20" spans="1:39">
      <c r="A20" s="14" t="s">
        <v>119</v>
      </c>
      <c r="B20" s="14" t="s">
        <v>40</v>
      </c>
      <c r="C20" s="14">
        <v>38</v>
      </c>
      <c r="D20" s="14" t="s">
        <v>388</v>
      </c>
      <c r="E20" s="15" t="s">
        <v>41</v>
      </c>
      <c r="F20" s="15" t="s">
        <v>389</v>
      </c>
      <c r="G20" s="15" t="s">
        <v>390</v>
      </c>
      <c r="H20" s="15" t="s">
        <v>391</v>
      </c>
      <c r="I20" s="15" t="s">
        <v>392</v>
      </c>
      <c r="J20" s="130"/>
      <c r="K20" s="16">
        <v>0.54652777777777795</v>
      </c>
      <c r="L20" s="16">
        <v>0.59520833333333334</v>
      </c>
      <c r="M20" s="17">
        <f t="shared" si="0"/>
        <v>4.8680555555555394E-2</v>
      </c>
      <c r="N20" s="17">
        <f t="shared" si="1"/>
        <v>2.1932870370370172E-2</v>
      </c>
      <c r="O20" s="16">
        <v>0.6694444444444444</v>
      </c>
      <c r="P20" s="16">
        <v>0.2902777777777778</v>
      </c>
      <c r="Q20" s="16">
        <v>0.33686342592592594</v>
      </c>
      <c r="R20" s="17">
        <f t="shared" si="2"/>
        <v>4.658564814814814E-2</v>
      </c>
      <c r="S20" s="17">
        <f t="shared" si="3"/>
        <v>1.9039351851851793E-2</v>
      </c>
      <c r="T20" s="16">
        <v>0.44843749999999999</v>
      </c>
      <c r="U20" s="18">
        <v>0.125</v>
      </c>
      <c r="V20" s="18">
        <v>0.16666666666666666</v>
      </c>
      <c r="W20" s="19">
        <f t="shared" si="4"/>
        <v>0</v>
      </c>
      <c r="X20" s="19">
        <f t="shared" si="5"/>
        <v>1.2916666666667087</v>
      </c>
      <c r="Y20" s="19">
        <f t="shared" si="6"/>
        <v>5</v>
      </c>
      <c r="Z20" s="19">
        <f t="shared" si="7"/>
        <v>5</v>
      </c>
      <c r="AA20" s="131">
        <f>6.2-0.2-0.6</f>
        <v>5.4</v>
      </c>
      <c r="AB20" s="131">
        <v>7.4</v>
      </c>
      <c r="AC20" s="131">
        <v>4</v>
      </c>
      <c r="AD20" s="131">
        <v>2.7</v>
      </c>
      <c r="AE20" s="131">
        <f>1+2</f>
        <v>3</v>
      </c>
      <c r="AF20" s="131">
        <v>1.5</v>
      </c>
      <c r="AG20" s="131">
        <v>2</v>
      </c>
      <c r="AH20" s="131">
        <v>4.2</v>
      </c>
      <c r="AI20" s="131">
        <v>0</v>
      </c>
      <c r="AJ20" s="131">
        <v>3</v>
      </c>
      <c r="AK20" s="131">
        <v>5</v>
      </c>
      <c r="AL20" s="131">
        <f t="shared" si="8"/>
        <v>49.491666666666717</v>
      </c>
      <c r="AM20" s="14">
        <f t="shared" si="10"/>
        <v>12</v>
      </c>
    </row>
    <row r="21" spans="1:39">
      <c r="A21" s="14" t="s">
        <v>119</v>
      </c>
      <c r="B21" s="14" t="s">
        <v>23</v>
      </c>
      <c r="C21" s="14">
        <v>39</v>
      </c>
      <c r="D21" s="14" t="s">
        <v>393</v>
      </c>
      <c r="E21" s="15" t="s">
        <v>42</v>
      </c>
      <c r="F21" s="15" t="s">
        <v>394</v>
      </c>
      <c r="G21" s="15" t="s">
        <v>395</v>
      </c>
      <c r="H21" s="15" t="s">
        <v>396</v>
      </c>
      <c r="I21" s="130"/>
      <c r="J21" s="130"/>
      <c r="K21" s="16">
        <v>0.54722222222222205</v>
      </c>
      <c r="L21" s="16">
        <v>0.60146990740740736</v>
      </c>
      <c r="M21" s="17">
        <f t="shared" si="0"/>
        <v>5.4247685185185301E-2</v>
      </c>
      <c r="N21" s="17">
        <f t="shared" si="1"/>
        <v>2.750000000000008E-2</v>
      </c>
      <c r="O21" s="16">
        <v>0.67500000000000004</v>
      </c>
      <c r="P21" s="16">
        <v>0.29166666666666669</v>
      </c>
      <c r="Q21" s="16">
        <v>0.34285879629629629</v>
      </c>
      <c r="R21" s="17">
        <f t="shared" si="2"/>
        <v>5.1192129629629601E-2</v>
      </c>
      <c r="S21" s="17">
        <f t="shared" si="3"/>
        <v>2.3645833333333255E-2</v>
      </c>
      <c r="T21" s="16">
        <v>0.46574074074074073</v>
      </c>
      <c r="U21" s="18">
        <v>0.125</v>
      </c>
      <c r="V21" s="18">
        <v>0.16666666666666666</v>
      </c>
      <c r="W21" s="19">
        <f t="shared" si="4"/>
        <v>0</v>
      </c>
      <c r="X21" s="19">
        <f t="shared" si="5"/>
        <v>0</v>
      </c>
      <c r="Y21" s="19">
        <f>MAX(MIN(5+(U21-(O21-K21))*60*24*0.25,5),0)-2.5</f>
        <v>1.4999999999999236</v>
      </c>
      <c r="Z21" s="19">
        <f t="shared" si="7"/>
        <v>2.3333333333333393</v>
      </c>
      <c r="AA21" s="131">
        <f>8.5-0.6</f>
        <v>7.9</v>
      </c>
      <c r="AB21" s="131">
        <v>7.1</v>
      </c>
      <c r="AC21" s="131">
        <v>3.3</v>
      </c>
      <c r="AD21" s="131">
        <v>0.8</v>
      </c>
      <c r="AE21" s="131">
        <f>1+0</f>
        <v>1</v>
      </c>
      <c r="AF21" s="131">
        <v>3.5</v>
      </c>
      <c r="AG21" s="131">
        <v>1.4</v>
      </c>
      <c r="AH21" s="131">
        <v>3.2</v>
      </c>
      <c r="AI21" s="131">
        <v>1.5</v>
      </c>
      <c r="AJ21" s="131">
        <v>3</v>
      </c>
      <c r="AK21" s="131">
        <v>5</v>
      </c>
      <c r="AL21" s="131">
        <f t="shared" si="8"/>
        <v>41.533333333333267</v>
      </c>
      <c r="AM21" s="14">
        <f t="shared" si="10"/>
        <v>16</v>
      </c>
    </row>
    <row r="22" spans="1:39">
      <c r="A22" s="14" t="s">
        <v>119</v>
      </c>
      <c r="B22" s="14" t="s">
        <v>548</v>
      </c>
      <c r="C22" s="14">
        <v>40</v>
      </c>
      <c r="D22" s="14" t="s">
        <v>397</v>
      </c>
      <c r="E22" s="15" t="s">
        <v>35</v>
      </c>
      <c r="F22" s="15" t="s">
        <v>398</v>
      </c>
      <c r="G22" s="15" t="s">
        <v>399</v>
      </c>
      <c r="H22" s="15" t="s">
        <v>400</v>
      </c>
      <c r="I22" s="15" t="s">
        <v>401</v>
      </c>
      <c r="J22" s="130"/>
      <c r="K22" s="16">
        <v>0.54791666666666705</v>
      </c>
      <c r="L22" s="16">
        <v>0.58905092592592589</v>
      </c>
      <c r="M22" s="17">
        <f t="shared" si="0"/>
        <v>4.1134259259258843E-2</v>
      </c>
      <c r="N22" s="17">
        <f t="shared" si="1"/>
        <v>1.4386574074073621E-2</v>
      </c>
      <c r="O22" s="16">
        <v>0.65833333333333333</v>
      </c>
      <c r="P22" s="16">
        <v>0.28680555555555554</v>
      </c>
      <c r="Q22" s="16">
        <v>0.32908564814814817</v>
      </c>
      <c r="R22" s="17">
        <f t="shared" si="2"/>
        <v>4.2280092592592633E-2</v>
      </c>
      <c r="S22" s="17">
        <f t="shared" si="3"/>
        <v>1.4733796296296287E-2</v>
      </c>
      <c r="T22" s="16">
        <v>0.44120370370370371</v>
      </c>
      <c r="U22" s="18">
        <v>0.125</v>
      </c>
      <c r="V22" s="18">
        <v>0.16666666666666666</v>
      </c>
      <c r="W22" s="19">
        <f t="shared" si="4"/>
        <v>4.6416666666669926</v>
      </c>
      <c r="X22" s="19">
        <f t="shared" si="5"/>
        <v>4.3916666666666728</v>
      </c>
      <c r="Y22" s="19">
        <f t="shared" ref="Y22:Y40" si="11">MAX(MIN(5+(U22-(O22-K22))*60*24*0.25,5),0)</f>
        <v>5</v>
      </c>
      <c r="Z22" s="19">
        <f t="shared" si="7"/>
        <v>5</v>
      </c>
      <c r="AA22" s="131">
        <f>7.8-0.4</f>
        <v>7.3999999999999995</v>
      </c>
      <c r="AB22" s="131">
        <v>7.4</v>
      </c>
      <c r="AC22" s="131">
        <v>3.3</v>
      </c>
      <c r="AD22" s="131">
        <v>2.6</v>
      </c>
      <c r="AE22" s="131">
        <f>3+1</f>
        <v>4</v>
      </c>
      <c r="AF22" s="131">
        <v>1.5</v>
      </c>
      <c r="AG22" s="131">
        <v>2</v>
      </c>
      <c r="AH22" s="131">
        <v>4.8</v>
      </c>
      <c r="AI22" s="131">
        <v>1</v>
      </c>
      <c r="AJ22" s="131">
        <v>2.7</v>
      </c>
      <c r="AK22" s="131">
        <v>5</v>
      </c>
      <c r="AL22" s="131">
        <f t="shared" si="8"/>
        <v>60.733333333333661</v>
      </c>
      <c r="AM22" s="14">
        <f t="shared" si="10"/>
        <v>9</v>
      </c>
    </row>
    <row r="23" spans="1:39">
      <c r="A23" s="14" t="s">
        <v>119</v>
      </c>
      <c r="B23" s="14" t="s">
        <v>549</v>
      </c>
      <c r="C23" s="14">
        <v>41</v>
      </c>
      <c r="D23" s="14" t="s">
        <v>402</v>
      </c>
      <c r="E23" s="15" t="s">
        <v>43</v>
      </c>
      <c r="F23" s="15" t="s">
        <v>403</v>
      </c>
      <c r="G23" s="15" t="s">
        <v>404</v>
      </c>
      <c r="H23" s="15" t="s">
        <v>405</v>
      </c>
      <c r="I23" s="15"/>
      <c r="J23" s="130"/>
      <c r="K23" s="16">
        <v>0.54861111111111105</v>
      </c>
      <c r="L23" s="16">
        <v>0.58599537037037031</v>
      </c>
      <c r="M23" s="17">
        <f t="shared" si="0"/>
        <v>3.7384259259259256E-2</v>
      </c>
      <c r="N23" s="17">
        <f t="shared" si="1"/>
        <v>1.0636574074074034E-2</v>
      </c>
      <c r="O23" s="16">
        <v>0.65625</v>
      </c>
      <c r="P23" s="16">
        <v>0.28541666666666665</v>
      </c>
      <c r="Q23" s="16">
        <v>0.32571759259259259</v>
      </c>
      <c r="R23" s="17">
        <f t="shared" si="2"/>
        <v>4.0300925925925934E-2</v>
      </c>
      <c r="S23" s="17">
        <f t="shared" si="3"/>
        <v>1.2754629629629588E-2</v>
      </c>
      <c r="T23" s="16">
        <v>0.44809027777777777</v>
      </c>
      <c r="U23" s="18">
        <v>0.125</v>
      </c>
      <c r="V23" s="18">
        <v>0.16666666666666666</v>
      </c>
      <c r="W23" s="19">
        <f t="shared" si="4"/>
        <v>7.3416666666666952</v>
      </c>
      <c r="X23" s="19">
        <f t="shared" si="5"/>
        <v>5.8166666666666966</v>
      </c>
      <c r="Y23" s="19">
        <f t="shared" si="11"/>
        <v>5</v>
      </c>
      <c r="Z23" s="19">
        <f t="shared" si="7"/>
        <v>5</v>
      </c>
      <c r="AA23" s="131">
        <f>7.4-0.4-0.6</f>
        <v>6.4</v>
      </c>
      <c r="AB23" s="131">
        <v>6.4</v>
      </c>
      <c r="AC23" s="131">
        <v>2.6</v>
      </c>
      <c r="AD23" s="131">
        <v>0.4</v>
      </c>
      <c r="AE23" s="131">
        <f>3+1</f>
        <v>4</v>
      </c>
      <c r="AF23" s="131">
        <v>4</v>
      </c>
      <c r="AG23" s="131">
        <v>1.6</v>
      </c>
      <c r="AH23" s="131">
        <v>5.4</v>
      </c>
      <c r="AI23" s="131">
        <v>1</v>
      </c>
      <c r="AJ23" s="131">
        <v>3</v>
      </c>
      <c r="AK23" s="131">
        <f>5-1</f>
        <v>4</v>
      </c>
      <c r="AL23" s="131">
        <f t="shared" si="8"/>
        <v>61.958333333333393</v>
      </c>
      <c r="AM23" s="14">
        <f t="shared" si="10"/>
        <v>8</v>
      </c>
    </row>
    <row r="24" spans="1:39">
      <c r="A24" s="14" t="s">
        <v>119</v>
      </c>
      <c r="B24" s="14" t="s">
        <v>550</v>
      </c>
      <c r="C24" s="14">
        <v>42</v>
      </c>
      <c r="D24" s="14" t="s">
        <v>406</v>
      </c>
      <c r="E24" s="15" t="s">
        <v>14</v>
      </c>
      <c r="F24" s="15" t="s">
        <v>407</v>
      </c>
      <c r="G24" s="15" t="s">
        <v>408</v>
      </c>
      <c r="H24" s="15" t="s">
        <v>409</v>
      </c>
      <c r="I24" s="15" t="s">
        <v>410</v>
      </c>
      <c r="J24" s="15" t="s">
        <v>411</v>
      </c>
      <c r="K24" s="16">
        <v>0.54930555555555505</v>
      </c>
      <c r="L24" s="16">
        <v>0.57962962962962961</v>
      </c>
      <c r="M24" s="17">
        <f t="shared" si="0"/>
        <v>3.0324074074074558E-2</v>
      </c>
      <c r="N24" s="17">
        <f t="shared" si="1"/>
        <v>3.5763888888893369E-3</v>
      </c>
      <c r="O24" s="16">
        <v>0.66736111111111107</v>
      </c>
      <c r="P24" s="16">
        <v>0.28194444444444444</v>
      </c>
      <c r="Q24" s="16">
        <v>0.31287037037037035</v>
      </c>
      <c r="R24" s="17">
        <f t="shared" si="2"/>
        <v>3.0925925925925912E-2</v>
      </c>
      <c r="S24" s="17">
        <f t="shared" si="3"/>
        <v>3.3796296296295658E-3</v>
      </c>
      <c r="T24" s="16">
        <v>0.44490740740740736</v>
      </c>
      <c r="U24" s="18">
        <v>0.125</v>
      </c>
      <c r="V24" s="18">
        <v>0.16666666666666666</v>
      </c>
      <c r="W24" s="19">
        <f t="shared" si="4"/>
        <v>12.424999999999677</v>
      </c>
      <c r="X24" s="19">
        <f t="shared" si="5"/>
        <v>12.566666666666713</v>
      </c>
      <c r="Y24" s="19">
        <f t="shared" si="11"/>
        <v>5</v>
      </c>
      <c r="Z24" s="19">
        <f t="shared" si="7"/>
        <v>5</v>
      </c>
      <c r="AA24" s="131">
        <f>9.8-1</f>
        <v>8.8000000000000007</v>
      </c>
      <c r="AB24" s="131">
        <v>7.8</v>
      </c>
      <c r="AC24" s="131">
        <v>4</v>
      </c>
      <c r="AD24" s="131">
        <v>5.4</v>
      </c>
      <c r="AE24" s="131">
        <f>2+4</f>
        <v>6</v>
      </c>
      <c r="AF24" s="131">
        <v>3.5</v>
      </c>
      <c r="AG24" s="131">
        <v>2</v>
      </c>
      <c r="AH24" s="131">
        <v>4.5999999999999996</v>
      </c>
      <c r="AI24" s="131">
        <v>3</v>
      </c>
      <c r="AJ24" s="131">
        <v>3</v>
      </c>
      <c r="AK24" s="131">
        <v>5</v>
      </c>
      <c r="AL24" s="131">
        <f t="shared" si="8"/>
        <v>88.091666666666384</v>
      </c>
      <c r="AM24" s="14">
        <f t="shared" si="10"/>
        <v>3</v>
      </c>
    </row>
    <row r="25" spans="1:39">
      <c r="A25" s="14" t="s">
        <v>119</v>
      </c>
      <c r="B25" s="14" t="s">
        <v>551</v>
      </c>
      <c r="C25" s="14">
        <v>44</v>
      </c>
      <c r="D25" s="14" t="s">
        <v>412</v>
      </c>
      <c r="E25" s="15" t="s">
        <v>44</v>
      </c>
      <c r="F25" s="15" t="s">
        <v>413</v>
      </c>
      <c r="G25" s="15" t="s">
        <v>414</v>
      </c>
      <c r="H25" s="15" t="s">
        <v>415</v>
      </c>
      <c r="I25" s="15" t="s">
        <v>416</v>
      </c>
      <c r="J25" s="15" t="s">
        <v>417</v>
      </c>
      <c r="K25" s="16">
        <v>0.55000000000000004</v>
      </c>
      <c r="L25" s="16">
        <v>0.58540509259259255</v>
      </c>
      <c r="M25" s="17">
        <f t="shared" si="0"/>
        <v>3.5405092592592502E-2</v>
      </c>
      <c r="N25" s="17">
        <f t="shared" si="1"/>
        <v>8.6574074074072804E-3</v>
      </c>
      <c r="O25" s="16">
        <v>0.65694444444444444</v>
      </c>
      <c r="P25" s="16">
        <v>0.28472222222222221</v>
      </c>
      <c r="Q25" s="16">
        <v>0.32090277777777776</v>
      </c>
      <c r="R25" s="17">
        <f t="shared" si="2"/>
        <v>3.6180555555555549E-2</v>
      </c>
      <c r="S25" s="17">
        <f t="shared" si="3"/>
        <v>8.6342592592592027E-3</v>
      </c>
      <c r="T25" s="16">
        <v>0.44307870370370367</v>
      </c>
      <c r="U25" s="18">
        <v>0.125</v>
      </c>
      <c r="V25" s="18">
        <v>0.16666666666666666</v>
      </c>
      <c r="W25" s="19">
        <f t="shared" si="4"/>
        <v>8.7666666666667581</v>
      </c>
      <c r="X25" s="19">
        <f t="shared" si="5"/>
        <v>8.7833333333333741</v>
      </c>
      <c r="Y25" s="19">
        <f t="shared" si="11"/>
        <v>5</v>
      </c>
      <c r="Z25" s="19">
        <f t="shared" si="7"/>
        <v>5</v>
      </c>
      <c r="AA25" s="131">
        <f>5.8-1.2-0.2</f>
        <v>4.3999999999999995</v>
      </c>
      <c r="AB25" s="131">
        <v>7.8</v>
      </c>
      <c r="AC25" s="131">
        <v>3</v>
      </c>
      <c r="AD25" s="131">
        <v>0.6</v>
      </c>
      <c r="AE25" s="131">
        <f>2+1</f>
        <v>3</v>
      </c>
      <c r="AF25" s="131">
        <v>3</v>
      </c>
      <c r="AG25" s="131">
        <v>2</v>
      </c>
      <c r="AH25" s="131">
        <v>4.8</v>
      </c>
      <c r="AI25" s="131">
        <v>1.5</v>
      </c>
      <c r="AJ25" s="131">
        <v>2.4</v>
      </c>
      <c r="AK25" s="131">
        <v>5</v>
      </c>
      <c r="AL25" s="131">
        <f t="shared" si="8"/>
        <v>65.050000000000125</v>
      </c>
      <c r="AM25" s="14">
        <f t="shared" si="10"/>
        <v>6</v>
      </c>
    </row>
    <row r="26" spans="1:39">
      <c r="A26" s="14" t="s">
        <v>119</v>
      </c>
      <c r="B26" s="14" t="s">
        <v>45</v>
      </c>
      <c r="C26" s="14">
        <v>45</v>
      </c>
      <c r="D26" s="14" t="s">
        <v>418</v>
      </c>
      <c r="E26" s="15" t="s">
        <v>44</v>
      </c>
      <c r="F26" s="15" t="s">
        <v>419</v>
      </c>
      <c r="G26" s="15" t="s">
        <v>420</v>
      </c>
      <c r="H26" s="15" t="s">
        <v>421</v>
      </c>
      <c r="I26" s="15" t="s">
        <v>422</v>
      </c>
      <c r="J26" s="15" t="s">
        <v>423</v>
      </c>
      <c r="K26" s="16">
        <v>0.55069444444444404</v>
      </c>
      <c r="L26" s="16">
        <v>0.59337962962962965</v>
      </c>
      <c r="M26" s="17">
        <f t="shared" si="0"/>
        <v>4.2685185185185603E-2</v>
      </c>
      <c r="N26" s="17">
        <f t="shared" si="1"/>
        <v>1.5937500000000382E-2</v>
      </c>
      <c r="O26" s="16">
        <v>0.66180555555555554</v>
      </c>
      <c r="P26" s="16">
        <v>0.28819444444444448</v>
      </c>
      <c r="Q26" s="16">
        <v>0.32949074074074075</v>
      </c>
      <c r="R26" s="17">
        <f t="shared" si="2"/>
        <v>4.1296296296296275E-2</v>
      </c>
      <c r="S26" s="17">
        <f t="shared" si="3"/>
        <v>1.3749999999999929E-2</v>
      </c>
      <c r="T26" s="16">
        <v>0.43891203703703702</v>
      </c>
      <c r="U26" s="18">
        <v>0.125</v>
      </c>
      <c r="V26" s="18">
        <v>0.16666666666666666</v>
      </c>
      <c r="W26" s="19">
        <f t="shared" si="4"/>
        <v>3.524999999999725</v>
      </c>
      <c r="X26" s="19">
        <f t="shared" si="5"/>
        <v>5.1000000000000512</v>
      </c>
      <c r="Y26" s="19">
        <f t="shared" si="11"/>
        <v>5</v>
      </c>
      <c r="Z26" s="19">
        <f t="shared" si="7"/>
        <v>5</v>
      </c>
      <c r="AA26" s="131">
        <f>9.3-0.2</f>
        <v>9.1000000000000014</v>
      </c>
      <c r="AB26" s="131">
        <v>8</v>
      </c>
      <c r="AC26" s="131">
        <v>1.4</v>
      </c>
      <c r="AD26" s="131">
        <v>2.2999999999999998</v>
      </c>
      <c r="AE26" s="131">
        <f>3+3</f>
        <v>6</v>
      </c>
      <c r="AF26" s="131">
        <v>3.5</v>
      </c>
      <c r="AG26" s="131">
        <v>1.8</v>
      </c>
      <c r="AH26" s="131">
        <v>5</v>
      </c>
      <c r="AI26" s="131">
        <v>1.5</v>
      </c>
      <c r="AJ26" s="131">
        <v>2.1</v>
      </c>
      <c r="AK26" s="131">
        <v>5</v>
      </c>
      <c r="AL26" s="131">
        <f t="shared" si="8"/>
        <v>64.324999999999775</v>
      </c>
      <c r="AM26" s="14">
        <f t="shared" si="10"/>
        <v>7</v>
      </c>
    </row>
    <row r="27" spans="1:39">
      <c r="A27" s="14" t="s">
        <v>119</v>
      </c>
      <c r="B27" s="14" t="s">
        <v>46</v>
      </c>
      <c r="C27" s="14">
        <v>46</v>
      </c>
      <c r="D27" s="14" t="s">
        <v>424</v>
      </c>
      <c r="E27" s="15" t="s">
        <v>44</v>
      </c>
      <c r="F27" s="15" t="s">
        <v>425</v>
      </c>
      <c r="G27" s="15" t="s">
        <v>426</v>
      </c>
      <c r="H27" s="15" t="s">
        <v>427</v>
      </c>
      <c r="I27" s="15" t="s">
        <v>428</v>
      </c>
      <c r="J27" s="130"/>
      <c r="K27" s="16">
        <v>0.55138888888888904</v>
      </c>
      <c r="L27" s="16">
        <v>0.58603009259259264</v>
      </c>
      <c r="M27" s="17">
        <f t="shared" si="0"/>
        <v>3.4641203703703605E-2</v>
      </c>
      <c r="N27" s="17">
        <f t="shared" si="1"/>
        <v>7.8935185185183832E-3</v>
      </c>
      <c r="O27" s="16">
        <v>0.66874999999999996</v>
      </c>
      <c r="P27" s="16">
        <v>0.28333333333333333</v>
      </c>
      <c r="Q27" s="16">
        <v>0.31938657407407406</v>
      </c>
      <c r="R27" s="17">
        <f t="shared" si="2"/>
        <v>3.6053240740740733E-2</v>
      </c>
      <c r="S27" s="17">
        <f t="shared" si="3"/>
        <v>8.5069444444443865E-3</v>
      </c>
      <c r="T27" s="16">
        <v>0.4447916666666667</v>
      </c>
      <c r="U27" s="18">
        <v>0.125</v>
      </c>
      <c r="V27" s="18">
        <v>0.16666666666666666</v>
      </c>
      <c r="W27" s="19">
        <f t="shared" si="4"/>
        <v>9.3166666666667641</v>
      </c>
      <c r="X27" s="19">
        <f t="shared" si="5"/>
        <v>8.8750000000000426</v>
      </c>
      <c r="Y27" s="19">
        <f t="shared" si="11"/>
        <v>5</v>
      </c>
      <c r="Z27" s="19">
        <f t="shared" si="7"/>
        <v>5</v>
      </c>
      <c r="AA27" s="131">
        <f>8.3-0.8</f>
        <v>7.5000000000000009</v>
      </c>
      <c r="AB27" s="131">
        <v>7.4</v>
      </c>
      <c r="AC27" s="131">
        <v>4</v>
      </c>
      <c r="AD27" s="131">
        <v>5</v>
      </c>
      <c r="AE27" s="131">
        <f>3+2</f>
        <v>5</v>
      </c>
      <c r="AF27" s="131">
        <v>3.5</v>
      </c>
      <c r="AG27" s="131">
        <v>1.8</v>
      </c>
      <c r="AH27" s="131">
        <v>4.2</v>
      </c>
      <c r="AI27" s="131">
        <v>2</v>
      </c>
      <c r="AJ27" s="131">
        <v>3</v>
      </c>
      <c r="AK27" s="131">
        <v>5</v>
      </c>
      <c r="AL27" s="131">
        <f t="shared" si="8"/>
        <v>76.591666666666796</v>
      </c>
      <c r="AM27" s="14">
        <f t="shared" si="10"/>
        <v>4</v>
      </c>
    </row>
    <row r="28" spans="1:39">
      <c r="A28" s="14" t="s">
        <v>119</v>
      </c>
      <c r="B28" s="14" t="s">
        <v>47</v>
      </c>
      <c r="C28" s="14">
        <v>47</v>
      </c>
      <c r="D28" s="14" t="s">
        <v>429</v>
      </c>
      <c r="E28" s="15" t="s">
        <v>48</v>
      </c>
      <c r="F28" s="15" t="s">
        <v>430</v>
      </c>
      <c r="G28" s="15" t="s">
        <v>431</v>
      </c>
      <c r="H28" s="15" t="s">
        <v>432</v>
      </c>
      <c r="I28" s="130"/>
      <c r="J28" s="130"/>
      <c r="K28" s="16">
        <v>0.55208333333333304</v>
      </c>
      <c r="L28" s="16">
        <v>0.60280092592592593</v>
      </c>
      <c r="M28" s="17">
        <f t="shared" si="0"/>
        <v>5.0717592592592897E-2</v>
      </c>
      <c r="N28" s="17">
        <f t="shared" si="1"/>
        <v>2.3969907407407676E-2</v>
      </c>
      <c r="O28" s="16">
        <v>0.67152777777777783</v>
      </c>
      <c r="P28" s="16">
        <v>0.29097222222222224</v>
      </c>
      <c r="Q28" s="16">
        <v>0.32863425925925926</v>
      </c>
      <c r="R28" s="17">
        <f t="shared" si="2"/>
        <v>3.7662037037037022E-2</v>
      </c>
      <c r="S28" s="17">
        <f t="shared" si="3"/>
        <v>1.0115740740740675E-2</v>
      </c>
      <c r="T28" s="16">
        <v>0.44780092592592591</v>
      </c>
      <c r="U28" s="18">
        <v>0.125</v>
      </c>
      <c r="V28" s="18">
        <v>0.16666666666666666</v>
      </c>
      <c r="W28" s="19">
        <f t="shared" si="4"/>
        <v>0</v>
      </c>
      <c r="X28" s="19">
        <f t="shared" si="5"/>
        <v>7.7166666666667139</v>
      </c>
      <c r="Y28" s="19">
        <f t="shared" si="11"/>
        <v>5</v>
      </c>
      <c r="Z28" s="19">
        <f t="shared" si="7"/>
        <v>5</v>
      </c>
      <c r="AA28" s="131">
        <f>3-1-0.2-0.4</f>
        <v>1.4</v>
      </c>
      <c r="AB28" s="131">
        <v>6.6</v>
      </c>
      <c r="AC28" s="131">
        <v>1.5</v>
      </c>
      <c r="AD28" s="131">
        <v>0</v>
      </c>
      <c r="AE28" s="131">
        <f>2+1</f>
        <v>3</v>
      </c>
      <c r="AF28" s="131">
        <v>3</v>
      </c>
      <c r="AG28" s="131">
        <v>1.4</v>
      </c>
      <c r="AH28" s="131">
        <v>4.2</v>
      </c>
      <c r="AI28" s="131">
        <v>1.5</v>
      </c>
      <c r="AJ28" s="131">
        <v>2.7</v>
      </c>
      <c r="AK28" s="131">
        <f>5-1</f>
        <v>4</v>
      </c>
      <c r="AL28" s="131">
        <f t="shared" si="8"/>
        <v>47.016666666666715</v>
      </c>
      <c r="AM28" s="14">
        <f t="shared" si="10"/>
        <v>14</v>
      </c>
    </row>
    <row r="29" spans="1:39">
      <c r="A29" s="14" t="s">
        <v>120</v>
      </c>
      <c r="B29" s="14" t="s">
        <v>23</v>
      </c>
      <c r="C29" s="14">
        <v>21</v>
      </c>
      <c r="D29" s="14" t="s">
        <v>552</v>
      </c>
      <c r="E29" s="15" t="s">
        <v>49</v>
      </c>
      <c r="F29" s="15" t="s">
        <v>433</v>
      </c>
      <c r="G29" s="15" t="s">
        <v>434</v>
      </c>
      <c r="H29" s="15" t="s">
        <v>435</v>
      </c>
      <c r="I29" s="15" t="s">
        <v>436</v>
      </c>
      <c r="J29" s="130"/>
      <c r="K29" s="16">
        <v>0.55277777777777704</v>
      </c>
      <c r="L29" s="16">
        <v>0.60630787037037037</v>
      </c>
      <c r="M29" s="17">
        <f t="shared" si="0"/>
        <v>5.3530092592593337E-2</v>
      </c>
      <c r="N29" s="17">
        <f t="shared" ref="N29:N36" si="12">M29-MIN(TR1D)</f>
        <v>1.803240740740697E-2</v>
      </c>
      <c r="O29" s="16">
        <v>0.67638888888888893</v>
      </c>
      <c r="P29" s="16">
        <v>0.28333333333333333</v>
      </c>
      <c r="Q29" s="16">
        <v>0.31613425925925925</v>
      </c>
      <c r="R29" s="17">
        <f t="shared" si="2"/>
        <v>3.2800925925925928E-2</v>
      </c>
      <c r="S29" s="17">
        <f t="shared" ref="S29:S36" si="13">R29-MIN(TR2D)</f>
        <v>8.1481481481481266E-3</v>
      </c>
      <c r="T29" s="16">
        <v>0.45937499999999998</v>
      </c>
      <c r="U29" s="18">
        <v>0.14583333333333334</v>
      </c>
      <c r="V29" s="18">
        <v>0.1875</v>
      </c>
      <c r="W29" s="19">
        <f t="shared" si="4"/>
        <v>2.0166666666669819</v>
      </c>
      <c r="X29" s="19">
        <f t="shared" si="5"/>
        <v>9.1333333333333488</v>
      </c>
      <c r="Y29" s="19">
        <f t="shared" si="11"/>
        <v>5</v>
      </c>
      <c r="Z29" s="19">
        <f t="shared" si="7"/>
        <v>5</v>
      </c>
      <c r="AA29" s="131">
        <f>9.4-1.6-0.4</f>
        <v>7.4</v>
      </c>
      <c r="AB29" s="131">
        <v>8</v>
      </c>
      <c r="AC29" s="131">
        <v>3.5</v>
      </c>
      <c r="AD29" s="131">
        <v>3.8</v>
      </c>
      <c r="AE29" s="131">
        <f>0+0</f>
        <v>0</v>
      </c>
      <c r="AF29" s="131">
        <v>1</v>
      </c>
      <c r="AG29" s="131">
        <v>2</v>
      </c>
      <c r="AH29" s="131">
        <v>5</v>
      </c>
      <c r="AI29" s="131">
        <v>1</v>
      </c>
      <c r="AJ29" s="131">
        <v>2.7</v>
      </c>
      <c r="AK29" s="131">
        <v>5</v>
      </c>
      <c r="AL29" s="131">
        <f t="shared" si="8"/>
        <v>60.550000000000331</v>
      </c>
      <c r="AM29" s="14">
        <f t="shared" ref="AM29:AM34" si="14">RANK(AL29,TTLD)</f>
        <v>4</v>
      </c>
    </row>
    <row r="30" spans="1:39">
      <c r="A30" s="14" t="s">
        <v>120</v>
      </c>
      <c r="B30" s="14" t="s">
        <v>50</v>
      </c>
      <c r="C30" s="14">
        <v>22</v>
      </c>
      <c r="D30" s="14" t="s">
        <v>437</v>
      </c>
      <c r="E30" s="15" t="s">
        <v>51</v>
      </c>
      <c r="F30" s="15" t="s">
        <v>438</v>
      </c>
      <c r="G30" s="15" t="s">
        <v>439</v>
      </c>
      <c r="H30" s="15" t="s">
        <v>440</v>
      </c>
      <c r="I30" s="15" t="s">
        <v>441</v>
      </c>
      <c r="J30" s="130"/>
      <c r="K30" s="16">
        <v>0.55347222222222103</v>
      </c>
      <c r="L30" s="16">
        <v>0.5889699074074074</v>
      </c>
      <c r="M30" s="17">
        <f t="shared" si="0"/>
        <v>3.5497685185186367E-2</v>
      </c>
      <c r="N30" s="17">
        <f t="shared" si="12"/>
        <v>0</v>
      </c>
      <c r="O30" s="16">
        <v>0.66874999999999996</v>
      </c>
      <c r="P30" s="16">
        <v>0.28125</v>
      </c>
      <c r="Q30" s="16">
        <v>0.3059027777777778</v>
      </c>
      <c r="R30" s="17">
        <f t="shared" si="2"/>
        <v>2.4652777777777801E-2</v>
      </c>
      <c r="S30" s="17">
        <f t="shared" si="13"/>
        <v>0</v>
      </c>
      <c r="T30" s="16">
        <v>0.45288194444444446</v>
      </c>
      <c r="U30" s="18">
        <v>0.14583333333333334</v>
      </c>
      <c r="V30" s="18">
        <v>0.1875</v>
      </c>
      <c r="W30" s="19">
        <f t="shared" si="4"/>
        <v>15</v>
      </c>
      <c r="X30" s="19">
        <f t="shared" si="5"/>
        <v>15</v>
      </c>
      <c r="Y30" s="19">
        <f t="shared" si="11"/>
        <v>5</v>
      </c>
      <c r="Z30" s="19">
        <f t="shared" si="7"/>
        <v>5</v>
      </c>
      <c r="AA30" s="131">
        <f>9.5-0.2</f>
        <v>9.3000000000000007</v>
      </c>
      <c r="AB30" s="131">
        <v>8</v>
      </c>
      <c r="AC30" s="131">
        <v>4</v>
      </c>
      <c r="AD30" s="131">
        <v>4.7</v>
      </c>
      <c r="AE30" s="131">
        <f>3+4</f>
        <v>7</v>
      </c>
      <c r="AF30" s="131">
        <v>4</v>
      </c>
      <c r="AG30" s="131">
        <v>1.6</v>
      </c>
      <c r="AH30" s="131">
        <v>5.8</v>
      </c>
      <c r="AI30" s="131">
        <v>2.5</v>
      </c>
      <c r="AJ30" s="131">
        <v>3</v>
      </c>
      <c r="AK30" s="131">
        <v>5</v>
      </c>
      <c r="AL30" s="131">
        <f t="shared" si="8"/>
        <v>94.899999999999991</v>
      </c>
      <c r="AM30" s="14">
        <f t="shared" si="14"/>
        <v>1</v>
      </c>
    </row>
    <row r="31" spans="1:39">
      <c r="A31" s="14" t="s">
        <v>120</v>
      </c>
      <c r="B31" s="14" t="s">
        <v>29</v>
      </c>
      <c r="C31" s="14">
        <v>23</v>
      </c>
      <c r="D31" s="14" t="s">
        <v>442</v>
      </c>
      <c r="E31" s="15" t="s">
        <v>52</v>
      </c>
      <c r="F31" s="15" t="s">
        <v>443</v>
      </c>
      <c r="G31" s="15" t="s">
        <v>444</v>
      </c>
      <c r="H31" s="15" t="s">
        <v>445</v>
      </c>
      <c r="I31" s="15" t="s">
        <v>446</v>
      </c>
      <c r="J31" s="130"/>
      <c r="K31" s="16">
        <v>0.55416666666666503</v>
      </c>
      <c r="L31" s="16">
        <v>0.59462962962962962</v>
      </c>
      <c r="M31" s="17">
        <f t="shared" si="0"/>
        <v>4.0462962962964588E-2</v>
      </c>
      <c r="N31" s="17">
        <f t="shared" si="12"/>
        <v>4.9652777777782209E-3</v>
      </c>
      <c r="O31" s="16">
        <v>0.6875</v>
      </c>
      <c r="P31" s="16">
        <v>0.28194444444444444</v>
      </c>
      <c r="Q31" s="16">
        <v>0.31168981481481478</v>
      </c>
      <c r="R31" s="17">
        <f t="shared" si="2"/>
        <v>2.9745370370370339E-2</v>
      </c>
      <c r="S31" s="17">
        <f t="shared" si="13"/>
        <v>5.0925925925925375E-3</v>
      </c>
      <c r="T31" s="16">
        <v>0.45908564814814817</v>
      </c>
      <c r="U31" s="18">
        <v>0.14583333333333334</v>
      </c>
      <c r="V31" s="18">
        <v>0.1875</v>
      </c>
      <c r="W31" s="19">
        <f t="shared" si="4"/>
        <v>11.424999999999681</v>
      </c>
      <c r="X31" s="19">
        <f t="shared" si="5"/>
        <v>11.333333333333373</v>
      </c>
      <c r="Y31" s="19">
        <f t="shared" si="11"/>
        <v>5</v>
      </c>
      <c r="Z31" s="19">
        <f t="shared" si="7"/>
        <v>5</v>
      </c>
      <c r="AA31" s="131">
        <v>10</v>
      </c>
      <c r="AB31" s="131">
        <v>7.8</v>
      </c>
      <c r="AC31" s="131">
        <v>4</v>
      </c>
      <c r="AD31" s="131">
        <v>5.0999999999999996</v>
      </c>
      <c r="AE31" s="131">
        <f>2+1</f>
        <v>3</v>
      </c>
      <c r="AF31" s="131">
        <v>3</v>
      </c>
      <c r="AG31" s="131">
        <v>1.8</v>
      </c>
      <c r="AH31" s="131">
        <v>6</v>
      </c>
      <c r="AI31" s="131">
        <v>4</v>
      </c>
      <c r="AJ31" s="131">
        <v>2.4</v>
      </c>
      <c r="AK31" s="131">
        <v>5</v>
      </c>
      <c r="AL31" s="131">
        <f t="shared" si="8"/>
        <v>84.85833333333305</v>
      </c>
      <c r="AM31" s="14">
        <f t="shared" si="14"/>
        <v>2</v>
      </c>
    </row>
    <row r="32" spans="1:39">
      <c r="A32" s="14" t="s">
        <v>120</v>
      </c>
      <c r="B32" s="14" t="s">
        <v>47</v>
      </c>
      <c r="C32" s="14">
        <v>24</v>
      </c>
      <c r="D32" s="14" t="s">
        <v>447</v>
      </c>
      <c r="E32" s="15" t="s">
        <v>53</v>
      </c>
      <c r="F32" s="15" t="s">
        <v>448</v>
      </c>
      <c r="G32" s="15" t="s">
        <v>449</v>
      </c>
      <c r="H32" s="15" t="s">
        <v>450</v>
      </c>
      <c r="I32" s="15" t="s">
        <v>451</v>
      </c>
      <c r="J32" s="130"/>
      <c r="K32" s="16">
        <v>0.55486111111110903</v>
      </c>
      <c r="L32" s="16">
        <v>0.61275462962962968</v>
      </c>
      <c r="M32" s="17">
        <f t="shared" si="0"/>
        <v>5.7893518518520648E-2</v>
      </c>
      <c r="N32" s="17">
        <f t="shared" si="12"/>
        <v>2.2395833333334281E-2</v>
      </c>
      <c r="O32" s="16">
        <v>0.6958333333333333</v>
      </c>
      <c r="P32" s="16">
        <v>0.28402777777777777</v>
      </c>
      <c r="Q32" s="16">
        <v>0.3181134259259259</v>
      </c>
      <c r="R32" s="17">
        <f t="shared" si="2"/>
        <v>3.4085648148148129E-2</v>
      </c>
      <c r="S32" s="17">
        <f t="shared" si="13"/>
        <v>9.4328703703703276E-3</v>
      </c>
      <c r="T32" s="16">
        <v>0.45624999999999999</v>
      </c>
      <c r="U32" s="18">
        <v>0.14583333333333334</v>
      </c>
      <c r="V32" s="18">
        <v>0.1875</v>
      </c>
      <c r="W32" s="19">
        <f t="shared" si="4"/>
        <v>0</v>
      </c>
      <c r="X32" s="19">
        <f t="shared" si="5"/>
        <v>8.2083333333333641</v>
      </c>
      <c r="Y32" s="19">
        <f t="shared" si="11"/>
        <v>5</v>
      </c>
      <c r="Z32" s="19">
        <f t="shared" si="7"/>
        <v>5</v>
      </c>
      <c r="AA32" s="131">
        <f>8.8-0.8</f>
        <v>8</v>
      </c>
      <c r="AB32" s="131">
        <v>5</v>
      </c>
      <c r="AC32" s="131">
        <v>3.3</v>
      </c>
      <c r="AD32" s="131">
        <v>4.8</v>
      </c>
      <c r="AE32" s="131">
        <f>3+1</f>
        <v>4</v>
      </c>
      <c r="AF32" s="131">
        <v>2.5</v>
      </c>
      <c r="AG32" s="131">
        <v>1.8</v>
      </c>
      <c r="AH32" s="131">
        <v>4.8</v>
      </c>
      <c r="AI32" s="131">
        <v>2</v>
      </c>
      <c r="AJ32" s="131">
        <v>2.7</v>
      </c>
      <c r="AK32" s="131">
        <f>5-1</f>
        <v>4</v>
      </c>
      <c r="AL32" s="131">
        <f t="shared" si="8"/>
        <v>61.108333333333356</v>
      </c>
      <c r="AM32" s="14">
        <f t="shared" si="14"/>
        <v>3</v>
      </c>
    </row>
    <row r="33" spans="1:40">
      <c r="A33" s="14" t="s">
        <v>120</v>
      </c>
      <c r="B33" s="14" t="s">
        <v>38</v>
      </c>
      <c r="C33" s="14">
        <v>25</v>
      </c>
      <c r="D33" s="14" t="s">
        <v>452</v>
      </c>
      <c r="E33" s="15" t="s">
        <v>39</v>
      </c>
      <c r="F33" s="15" t="s">
        <v>453</v>
      </c>
      <c r="G33" s="15" t="s">
        <v>454</v>
      </c>
      <c r="H33" s="15" t="s">
        <v>455</v>
      </c>
      <c r="I33" s="15" t="s">
        <v>456</v>
      </c>
      <c r="J33" s="130"/>
      <c r="K33" s="16">
        <v>0.55555555555555303</v>
      </c>
      <c r="L33" s="16">
        <v>0.60898148148148146</v>
      </c>
      <c r="M33" s="17">
        <f t="shared" si="0"/>
        <v>5.342592592592843E-2</v>
      </c>
      <c r="N33" s="17">
        <f t="shared" si="12"/>
        <v>1.7928240740742063E-2</v>
      </c>
      <c r="O33" s="16">
        <v>0.6958333333333333</v>
      </c>
      <c r="P33" s="16">
        <v>0.28263888888888888</v>
      </c>
      <c r="Q33" s="16">
        <v>0.31649305555555557</v>
      </c>
      <c r="R33" s="17">
        <f t="shared" si="2"/>
        <v>3.3854166666666685E-2</v>
      </c>
      <c r="S33" s="17">
        <f t="shared" si="13"/>
        <v>9.201388888888884E-3</v>
      </c>
      <c r="T33" s="16">
        <v>0.45708333333333334</v>
      </c>
      <c r="U33" s="18">
        <v>0.14583333333333334</v>
      </c>
      <c r="V33" s="18">
        <v>0.1875</v>
      </c>
      <c r="W33" s="19">
        <f t="shared" si="4"/>
        <v>2.0916666666657147</v>
      </c>
      <c r="X33" s="19">
        <f t="shared" si="5"/>
        <v>8.3750000000000036</v>
      </c>
      <c r="Y33" s="19">
        <f t="shared" si="11"/>
        <v>5</v>
      </c>
      <c r="Z33" s="19">
        <f t="shared" si="7"/>
        <v>5</v>
      </c>
      <c r="AA33" s="131">
        <f>9-0.8</f>
        <v>8.1999999999999993</v>
      </c>
      <c r="AB33" s="131">
        <v>8</v>
      </c>
      <c r="AC33" s="131">
        <v>3.8</v>
      </c>
      <c r="AD33" s="131">
        <v>1</v>
      </c>
      <c r="AE33" s="131">
        <f>0+1</f>
        <v>1</v>
      </c>
      <c r="AF33" s="131">
        <v>3</v>
      </c>
      <c r="AG33" s="131">
        <v>1.8</v>
      </c>
      <c r="AH33" s="131">
        <v>3.8</v>
      </c>
      <c r="AI33" s="131">
        <v>0.5</v>
      </c>
      <c r="AJ33" s="131">
        <v>3</v>
      </c>
      <c r="AK33" s="131">
        <f>5-1</f>
        <v>4</v>
      </c>
      <c r="AL33" s="131">
        <f t="shared" si="8"/>
        <v>58.566666666665711</v>
      </c>
      <c r="AM33" s="14">
        <f t="shared" si="14"/>
        <v>5</v>
      </c>
    </row>
    <row r="34" spans="1:40">
      <c r="A34" s="14" t="s">
        <v>120</v>
      </c>
      <c r="B34" s="14" t="s">
        <v>54</v>
      </c>
      <c r="C34" s="14">
        <v>26</v>
      </c>
      <c r="D34" s="14" t="s">
        <v>457</v>
      </c>
      <c r="E34" s="15" t="s">
        <v>55</v>
      </c>
      <c r="F34" s="15" t="s">
        <v>458</v>
      </c>
      <c r="G34" s="15" t="s">
        <v>459</v>
      </c>
      <c r="H34" s="15" t="s">
        <v>460</v>
      </c>
      <c r="I34" s="15" t="s">
        <v>461</v>
      </c>
      <c r="J34" s="130"/>
      <c r="K34" s="16">
        <v>0.55624999999999702</v>
      </c>
      <c r="L34" s="16">
        <v>1</v>
      </c>
      <c r="M34" s="17">
        <f t="shared" si="0"/>
        <v>0.44375000000000298</v>
      </c>
      <c r="N34" s="17">
        <f t="shared" si="12"/>
        <v>0.40825231481481661</v>
      </c>
      <c r="O34" s="16">
        <v>1</v>
      </c>
      <c r="P34" s="16">
        <v>0.28472222222222221</v>
      </c>
      <c r="Q34" s="16">
        <v>0.32372685185185185</v>
      </c>
      <c r="R34" s="17">
        <f t="shared" si="2"/>
        <v>3.9004629629629639E-2</v>
      </c>
      <c r="S34" s="17">
        <f t="shared" si="13"/>
        <v>1.4351851851851838E-2</v>
      </c>
      <c r="T34" s="16">
        <v>0.48364583333333333</v>
      </c>
      <c r="U34" s="18">
        <v>0.14583333333333334</v>
      </c>
      <c r="V34" s="18">
        <v>0.1875</v>
      </c>
      <c r="W34" s="19">
        <f t="shared" si="4"/>
        <v>0</v>
      </c>
      <c r="X34" s="19">
        <f t="shared" si="5"/>
        <v>4.6666666666666767</v>
      </c>
      <c r="Y34" s="19">
        <f t="shared" si="11"/>
        <v>0</v>
      </c>
      <c r="Z34" s="19">
        <f t="shared" si="7"/>
        <v>0.88749999999999662</v>
      </c>
      <c r="AA34" s="131">
        <f>1.2-0.8</f>
        <v>0.39999999999999991</v>
      </c>
      <c r="AB34" s="131">
        <v>7</v>
      </c>
      <c r="AC34" s="131">
        <v>2.5</v>
      </c>
      <c r="AD34" s="131">
        <v>0</v>
      </c>
      <c r="AE34" s="131">
        <v>0</v>
      </c>
      <c r="AF34" s="131"/>
      <c r="AG34" s="131">
        <v>1.4</v>
      </c>
      <c r="AH34" s="131">
        <v>3</v>
      </c>
      <c r="AI34" s="131">
        <v>0.5</v>
      </c>
      <c r="AJ34" s="131">
        <v>1.8</v>
      </c>
      <c r="AK34" s="131">
        <f>5-1</f>
        <v>4</v>
      </c>
      <c r="AL34" s="131">
        <f t="shared" si="8"/>
        <v>26.154166666666672</v>
      </c>
      <c r="AM34" s="14">
        <f t="shared" si="14"/>
        <v>6</v>
      </c>
      <c r="AN34" t="s">
        <v>553</v>
      </c>
    </row>
    <row r="35" spans="1:40">
      <c r="A35" s="14" t="s">
        <v>121</v>
      </c>
      <c r="B35" s="14" t="s">
        <v>50</v>
      </c>
      <c r="C35" s="14">
        <v>28</v>
      </c>
      <c r="D35" s="14" t="s">
        <v>554</v>
      </c>
      <c r="E35" s="15" t="s">
        <v>56</v>
      </c>
      <c r="F35" s="15" t="s">
        <v>462</v>
      </c>
      <c r="G35" s="15" t="s">
        <v>463</v>
      </c>
      <c r="H35" s="15" t="s">
        <v>464</v>
      </c>
      <c r="I35" s="15" t="s">
        <v>465</v>
      </c>
      <c r="J35" s="15" t="s">
        <v>466</v>
      </c>
      <c r="K35" s="16">
        <v>0.55694444444444102</v>
      </c>
      <c r="L35" s="16">
        <v>0.60706018518518523</v>
      </c>
      <c r="M35" s="17">
        <f t="shared" ref="M35:M58" si="15">L35-K35</f>
        <v>5.0115740740744208E-2</v>
      </c>
      <c r="N35" s="17">
        <f t="shared" si="12"/>
        <v>1.4618055555557841E-2</v>
      </c>
      <c r="O35" s="16">
        <v>0.69236111111111109</v>
      </c>
      <c r="P35" s="16">
        <v>0.28611111111111115</v>
      </c>
      <c r="Q35" s="16">
        <v>0.31799768518518517</v>
      </c>
      <c r="R35" s="17">
        <f t="shared" ref="R35:R58" si="16">Q35-P35</f>
        <v>3.1886574074074026E-2</v>
      </c>
      <c r="S35" s="17">
        <f t="shared" si="13"/>
        <v>7.2337962962962243E-3</v>
      </c>
      <c r="T35" s="16">
        <v>0.47228009259259257</v>
      </c>
      <c r="U35" s="18">
        <v>0.14583333333333334</v>
      </c>
      <c r="V35" s="18">
        <v>0.1875</v>
      </c>
      <c r="W35" s="19">
        <f t="shared" si="4"/>
        <v>4.4749999999983547</v>
      </c>
      <c r="X35" s="19">
        <f t="shared" si="5"/>
        <v>9.7916666666667176</v>
      </c>
      <c r="Y35" s="19">
        <f t="shared" si="11"/>
        <v>5</v>
      </c>
      <c r="Z35" s="19">
        <f t="shared" si="7"/>
        <v>5</v>
      </c>
      <c r="AA35" s="131">
        <f>7-0.2</f>
        <v>6.8</v>
      </c>
      <c r="AB35" s="131">
        <v>8</v>
      </c>
      <c r="AC35" s="131">
        <v>4</v>
      </c>
      <c r="AD35" s="131">
        <v>3.2</v>
      </c>
      <c r="AE35" s="131">
        <f>3+3</f>
        <v>6</v>
      </c>
      <c r="AF35" s="131">
        <v>4</v>
      </c>
      <c r="AG35" s="131">
        <v>1.2</v>
      </c>
      <c r="AH35" s="131">
        <v>5.4</v>
      </c>
      <c r="AI35" s="131">
        <v>2</v>
      </c>
      <c r="AJ35" s="131">
        <v>2.1</v>
      </c>
      <c r="AK35" s="131">
        <v>5</v>
      </c>
      <c r="AL35" s="131">
        <f t="shared" ref="AL35:AL58" si="17">SUM(W35:AK35)</f>
        <v>71.966666666665077</v>
      </c>
      <c r="AM35" s="14">
        <f>RANK(AL35,TTLE)</f>
        <v>2</v>
      </c>
    </row>
    <row r="36" spans="1:40">
      <c r="A36" s="14" t="s">
        <v>121</v>
      </c>
      <c r="B36" s="14" t="s">
        <v>15</v>
      </c>
      <c r="C36" s="14">
        <v>29</v>
      </c>
      <c r="D36" s="14" t="s">
        <v>467</v>
      </c>
      <c r="E36" s="15" t="s">
        <v>57</v>
      </c>
      <c r="F36" s="15" t="s">
        <v>468</v>
      </c>
      <c r="G36" s="15" t="s">
        <v>469</v>
      </c>
      <c r="H36" s="15" t="s">
        <v>470</v>
      </c>
      <c r="I36" s="130"/>
      <c r="J36" s="130"/>
      <c r="K36" s="16">
        <v>0.55763888888888502</v>
      </c>
      <c r="L36" s="16">
        <v>0.59725694444444444</v>
      </c>
      <c r="M36" s="17">
        <f t="shared" si="15"/>
        <v>3.9618055555559417E-2</v>
      </c>
      <c r="N36" s="17">
        <f t="shared" si="12"/>
        <v>4.1203703703730499E-3</v>
      </c>
      <c r="O36" s="16">
        <v>0.68402777777777779</v>
      </c>
      <c r="P36" s="16">
        <v>0.28541666666666665</v>
      </c>
      <c r="Q36" s="16">
        <v>0.31516203703703705</v>
      </c>
      <c r="R36" s="17">
        <f t="shared" si="16"/>
        <v>2.9745370370370394E-2</v>
      </c>
      <c r="S36" s="17">
        <f t="shared" si="13"/>
        <v>5.092592592592593E-3</v>
      </c>
      <c r="T36" s="16">
        <v>0.46342592592592591</v>
      </c>
      <c r="U36" s="18">
        <v>0.14583333333333334</v>
      </c>
      <c r="V36" s="18">
        <v>0.1875</v>
      </c>
      <c r="W36" s="19">
        <f t="shared" si="4"/>
        <v>12.033333333331404</v>
      </c>
      <c r="X36" s="19">
        <f t="shared" si="5"/>
        <v>11.333333333333332</v>
      </c>
      <c r="Y36" s="19">
        <f t="shared" si="11"/>
        <v>5</v>
      </c>
      <c r="Z36" s="19">
        <f t="shared" si="7"/>
        <v>5</v>
      </c>
      <c r="AA36" s="131">
        <f>10-0.4-0.6</f>
        <v>9</v>
      </c>
      <c r="AB36" s="131">
        <v>8</v>
      </c>
      <c r="AC36" s="131">
        <v>4</v>
      </c>
      <c r="AD36" s="131">
        <v>5.0999999999999996</v>
      </c>
      <c r="AE36" s="131">
        <f>2+4</f>
        <v>6</v>
      </c>
      <c r="AF36" s="131">
        <v>2</v>
      </c>
      <c r="AG36" s="131">
        <v>1.4</v>
      </c>
      <c r="AH36" s="131">
        <v>5.4</v>
      </c>
      <c r="AI36" s="131">
        <v>3</v>
      </c>
      <c r="AJ36" s="131">
        <v>2.7</v>
      </c>
      <c r="AK36" s="131">
        <v>5</v>
      </c>
      <c r="AL36" s="131">
        <f t="shared" si="17"/>
        <v>84.96666666666475</v>
      </c>
      <c r="AM36" s="14">
        <f>RANK(AL36,TTLE)</f>
        <v>1</v>
      </c>
    </row>
    <row r="37" spans="1:40">
      <c r="A37" s="14" t="s">
        <v>215</v>
      </c>
      <c r="B37" s="14" t="s">
        <v>58</v>
      </c>
      <c r="C37" s="14"/>
      <c r="D37" s="14" t="s">
        <v>555</v>
      </c>
      <c r="E37" s="15" t="s">
        <v>59</v>
      </c>
      <c r="F37" s="15" t="s">
        <v>471</v>
      </c>
      <c r="G37" s="15" t="s">
        <v>472</v>
      </c>
      <c r="H37" s="15" t="s">
        <v>473</v>
      </c>
      <c r="I37" s="130"/>
      <c r="J37" s="130"/>
      <c r="K37" s="16"/>
      <c r="L37" s="16"/>
      <c r="M37" s="17">
        <f t="shared" si="15"/>
        <v>0</v>
      </c>
      <c r="N37" s="17"/>
      <c r="O37" s="16"/>
      <c r="P37" s="16"/>
      <c r="Q37" s="16"/>
      <c r="R37" s="17">
        <f t="shared" si="16"/>
        <v>0</v>
      </c>
      <c r="S37" s="17">
        <f>R37-MIN(TR2B)</f>
        <v>-2.7685185185185202E-2</v>
      </c>
      <c r="T37" s="16"/>
      <c r="U37" s="18"/>
      <c r="V37" s="18"/>
      <c r="W37" s="19">
        <f t="shared" si="4"/>
        <v>15</v>
      </c>
      <c r="X37" s="19">
        <f t="shared" si="5"/>
        <v>34.933333333333344</v>
      </c>
      <c r="Y37" s="19">
        <f t="shared" si="11"/>
        <v>5</v>
      </c>
      <c r="Z37" s="19">
        <f t="shared" si="7"/>
        <v>5</v>
      </c>
      <c r="AA37" s="131"/>
      <c r="AB37" s="131"/>
      <c r="AC37" s="131"/>
      <c r="AD37" s="131"/>
      <c r="AE37" s="131"/>
      <c r="AF37" s="131"/>
      <c r="AG37" s="131"/>
      <c r="AH37" s="131"/>
      <c r="AI37" s="131"/>
      <c r="AJ37" s="131"/>
      <c r="AK37" s="131"/>
      <c r="AL37" s="131">
        <f t="shared" si="17"/>
        <v>59.933333333333344</v>
      </c>
      <c r="AM37" s="14" t="e">
        <f>RANK(AL37,TTLB)</f>
        <v>#N/A</v>
      </c>
    </row>
    <row r="38" spans="1:40">
      <c r="A38" s="14" t="s">
        <v>215</v>
      </c>
      <c r="B38" s="14" t="s">
        <v>556</v>
      </c>
      <c r="C38" s="14"/>
      <c r="D38" s="14" t="s">
        <v>557</v>
      </c>
      <c r="E38" s="21" t="s">
        <v>60</v>
      </c>
      <c r="F38" s="21" t="s">
        <v>474</v>
      </c>
      <c r="G38" s="21" t="s">
        <v>475</v>
      </c>
      <c r="H38" s="21" t="s">
        <v>476</v>
      </c>
      <c r="I38" s="130"/>
      <c r="J38" s="130"/>
      <c r="K38" s="16"/>
      <c r="L38" s="16"/>
      <c r="M38" s="17">
        <f t="shared" si="15"/>
        <v>0</v>
      </c>
      <c r="N38" s="17"/>
      <c r="O38" s="16"/>
      <c r="P38" s="16"/>
      <c r="Q38" s="16"/>
      <c r="R38" s="17">
        <f t="shared" si="16"/>
        <v>0</v>
      </c>
      <c r="S38" s="17">
        <f>R38-MIN(TR2B)</f>
        <v>-2.7685185185185202E-2</v>
      </c>
      <c r="T38" s="16"/>
      <c r="U38" s="18"/>
      <c r="V38" s="18"/>
      <c r="W38" s="19">
        <f t="shared" si="4"/>
        <v>15</v>
      </c>
      <c r="X38" s="19">
        <f t="shared" si="5"/>
        <v>34.933333333333344</v>
      </c>
      <c r="Y38" s="19">
        <f t="shared" si="11"/>
        <v>5</v>
      </c>
      <c r="Z38" s="19">
        <f t="shared" si="7"/>
        <v>5</v>
      </c>
      <c r="AA38" s="131"/>
      <c r="AB38" s="131"/>
      <c r="AC38" s="131"/>
      <c r="AD38" s="131"/>
      <c r="AE38" s="131"/>
      <c r="AF38" s="131"/>
      <c r="AG38" s="131"/>
      <c r="AH38" s="131"/>
      <c r="AI38" s="131"/>
      <c r="AJ38" s="131"/>
      <c r="AK38" s="131"/>
      <c r="AL38" s="131">
        <f t="shared" si="17"/>
        <v>59.933333333333344</v>
      </c>
      <c r="AM38" s="14" t="e">
        <f>RANK(AL38,TTLB)</f>
        <v>#N/A</v>
      </c>
    </row>
    <row r="39" spans="1:40">
      <c r="A39" s="14" t="s">
        <v>215</v>
      </c>
      <c r="B39" s="14" t="s">
        <v>61</v>
      </c>
      <c r="C39" s="14"/>
      <c r="D39" s="14" t="s">
        <v>477</v>
      </c>
      <c r="E39" s="15" t="s">
        <v>62</v>
      </c>
      <c r="F39" s="15" t="s">
        <v>478</v>
      </c>
      <c r="G39" s="15" t="s">
        <v>479</v>
      </c>
      <c r="H39" s="15" t="s">
        <v>480</v>
      </c>
      <c r="I39" s="130"/>
      <c r="J39" s="130"/>
      <c r="K39" s="16"/>
      <c r="L39" s="16"/>
      <c r="M39" s="17">
        <f t="shared" si="15"/>
        <v>0</v>
      </c>
      <c r="N39" s="17"/>
      <c r="O39" s="16"/>
      <c r="P39" s="16"/>
      <c r="Q39" s="16"/>
      <c r="R39" s="17">
        <f t="shared" si="16"/>
        <v>0</v>
      </c>
      <c r="S39" s="17">
        <f>R39-MIN(TR2B)</f>
        <v>-2.7685185185185202E-2</v>
      </c>
      <c r="T39" s="16"/>
      <c r="U39" s="18"/>
      <c r="V39" s="18"/>
      <c r="W39" s="19">
        <f t="shared" si="4"/>
        <v>15</v>
      </c>
      <c r="X39" s="19">
        <f t="shared" si="5"/>
        <v>34.933333333333344</v>
      </c>
      <c r="Y39" s="19">
        <f t="shared" si="11"/>
        <v>5</v>
      </c>
      <c r="Z39" s="19">
        <f t="shared" si="7"/>
        <v>5</v>
      </c>
      <c r="AA39" s="131"/>
      <c r="AB39" s="131"/>
      <c r="AC39" s="131"/>
      <c r="AD39" s="131"/>
      <c r="AE39" s="131"/>
      <c r="AF39" s="131"/>
      <c r="AG39" s="131"/>
      <c r="AH39" s="131"/>
      <c r="AI39" s="131"/>
      <c r="AJ39" s="131"/>
      <c r="AK39" s="131"/>
      <c r="AL39" s="131">
        <f t="shared" si="17"/>
        <v>59.933333333333344</v>
      </c>
      <c r="AM39" s="14" t="e">
        <f>RANK(AL39,TTLB)</f>
        <v>#N/A</v>
      </c>
    </row>
    <row r="40" spans="1:40">
      <c r="A40" s="14" t="s">
        <v>215</v>
      </c>
      <c r="B40" s="14" t="s">
        <v>558</v>
      </c>
      <c r="C40" s="14"/>
      <c r="D40" s="14" t="s">
        <v>481</v>
      </c>
      <c r="E40" s="15" t="s">
        <v>41</v>
      </c>
      <c r="F40" s="15" t="s">
        <v>482</v>
      </c>
      <c r="G40" s="15" t="s">
        <v>483</v>
      </c>
      <c r="H40" s="15" t="s">
        <v>484</v>
      </c>
      <c r="I40" s="130"/>
      <c r="J40" s="130"/>
      <c r="K40" s="16"/>
      <c r="L40" s="16"/>
      <c r="M40" s="17">
        <f t="shared" si="15"/>
        <v>0</v>
      </c>
      <c r="N40" s="17"/>
      <c r="O40" s="16"/>
      <c r="P40" s="16"/>
      <c r="Q40" s="16"/>
      <c r="R40" s="17">
        <f t="shared" si="16"/>
        <v>0</v>
      </c>
      <c r="S40" s="17">
        <f>R40-MIN(TR2B)</f>
        <v>-2.7685185185185202E-2</v>
      </c>
      <c r="T40" s="16"/>
      <c r="U40" s="18"/>
      <c r="V40" s="18"/>
      <c r="W40" s="19">
        <f t="shared" si="4"/>
        <v>15</v>
      </c>
      <c r="X40" s="19">
        <f t="shared" si="5"/>
        <v>34.933333333333344</v>
      </c>
      <c r="Y40" s="19">
        <f t="shared" si="11"/>
        <v>5</v>
      </c>
      <c r="Z40" s="19">
        <f t="shared" si="7"/>
        <v>5</v>
      </c>
      <c r="AA40" s="131"/>
      <c r="AB40" s="131"/>
      <c r="AC40" s="131"/>
      <c r="AD40" s="131"/>
      <c r="AE40" s="131"/>
      <c r="AF40" s="131"/>
      <c r="AG40" s="131"/>
      <c r="AH40" s="131"/>
      <c r="AI40" s="131"/>
      <c r="AJ40" s="131"/>
      <c r="AK40" s="131"/>
      <c r="AL40" s="131">
        <f t="shared" si="17"/>
        <v>59.933333333333344</v>
      </c>
      <c r="AM40" s="14" t="e">
        <f>RANK(AL40,TTLB)</f>
        <v>#N/A</v>
      </c>
    </row>
    <row r="41" spans="1:40">
      <c r="A41" s="14" t="s">
        <v>215</v>
      </c>
      <c r="B41" s="14" t="s">
        <v>63</v>
      </c>
      <c r="C41" s="14"/>
      <c r="D41" s="14" t="s">
        <v>485</v>
      </c>
      <c r="E41" s="15" t="s">
        <v>64</v>
      </c>
      <c r="F41" s="15" t="s">
        <v>486</v>
      </c>
      <c r="G41" s="130"/>
      <c r="H41" s="130"/>
      <c r="I41" s="130"/>
      <c r="J41" s="130"/>
      <c r="K41" s="16"/>
      <c r="L41" s="16"/>
      <c r="M41" s="17">
        <f t="shared" si="15"/>
        <v>0</v>
      </c>
      <c r="N41" s="17"/>
      <c r="O41" s="16"/>
      <c r="P41" s="16"/>
      <c r="Q41" s="16"/>
      <c r="R41" s="17">
        <f t="shared" si="16"/>
        <v>0</v>
      </c>
      <c r="S41" s="17"/>
      <c r="T41" s="16"/>
      <c r="U41" s="18"/>
      <c r="V41" s="18"/>
      <c r="W41" s="19"/>
      <c r="X41" s="19"/>
      <c r="Y41" s="19"/>
      <c r="Z41" s="19"/>
      <c r="AA41" s="131"/>
      <c r="AB41" s="131"/>
      <c r="AC41" s="131"/>
      <c r="AD41" s="131"/>
      <c r="AE41" s="131"/>
      <c r="AF41" s="131"/>
      <c r="AG41" s="131"/>
      <c r="AH41" s="131"/>
      <c r="AI41" s="131"/>
      <c r="AJ41" s="131"/>
      <c r="AK41" s="131"/>
      <c r="AL41" s="131">
        <f t="shared" si="17"/>
        <v>0</v>
      </c>
      <c r="AM41" s="14"/>
    </row>
    <row r="42" spans="1:40">
      <c r="A42" s="14" t="s">
        <v>215</v>
      </c>
      <c r="B42" s="14" t="s">
        <v>65</v>
      </c>
      <c r="C42" s="14"/>
      <c r="D42" s="14" t="s">
        <v>487</v>
      </c>
      <c r="E42" s="15" t="s">
        <v>66</v>
      </c>
      <c r="F42" s="15" t="s">
        <v>488</v>
      </c>
      <c r="G42" s="15" t="s">
        <v>489</v>
      </c>
      <c r="H42" s="15" t="s">
        <v>490</v>
      </c>
      <c r="I42" s="15" t="s">
        <v>491</v>
      </c>
      <c r="J42" s="130"/>
      <c r="K42" s="16"/>
      <c r="L42" s="16"/>
      <c r="M42" s="17">
        <f t="shared" si="15"/>
        <v>0</v>
      </c>
      <c r="N42" s="17"/>
      <c r="O42" s="16"/>
      <c r="P42" s="16"/>
      <c r="Q42" s="16"/>
      <c r="R42" s="17">
        <f t="shared" si="16"/>
        <v>0</v>
      </c>
      <c r="S42" s="17"/>
      <c r="T42" s="16"/>
      <c r="U42" s="18"/>
      <c r="V42" s="18"/>
      <c r="W42" s="19"/>
      <c r="X42" s="19"/>
      <c r="Y42" s="19"/>
      <c r="Z42" s="19"/>
      <c r="AA42" s="131"/>
      <c r="AB42" s="131"/>
      <c r="AC42" s="131"/>
      <c r="AD42" s="131"/>
      <c r="AE42" s="131"/>
      <c r="AF42" s="131"/>
      <c r="AG42" s="131"/>
      <c r="AH42" s="131"/>
      <c r="AI42" s="131"/>
      <c r="AJ42" s="131"/>
      <c r="AK42" s="131"/>
      <c r="AL42" s="131">
        <f t="shared" si="17"/>
        <v>0</v>
      </c>
      <c r="AM42" s="14"/>
    </row>
    <row r="43" spans="1:40">
      <c r="A43" s="14" t="s">
        <v>215</v>
      </c>
      <c r="B43" s="14" t="s">
        <v>67</v>
      </c>
      <c r="C43" s="14"/>
      <c r="D43" s="14" t="s">
        <v>492</v>
      </c>
      <c r="E43" s="15" t="s">
        <v>68</v>
      </c>
      <c r="F43" s="15" t="s">
        <v>493</v>
      </c>
      <c r="G43" s="15" t="s">
        <v>494</v>
      </c>
      <c r="H43" s="15" t="s">
        <v>495</v>
      </c>
      <c r="I43" s="130"/>
      <c r="J43" s="130"/>
      <c r="K43" s="16"/>
      <c r="L43" s="16"/>
      <c r="M43" s="17">
        <f t="shared" si="15"/>
        <v>0</v>
      </c>
      <c r="N43" s="17"/>
      <c r="O43" s="16"/>
      <c r="P43" s="16"/>
      <c r="Q43" s="16"/>
      <c r="R43" s="17">
        <f t="shared" si="16"/>
        <v>0</v>
      </c>
      <c r="S43" s="17"/>
      <c r="T43" s="16"/>
      <c r="U43" s="18"/>
      <c r="V43" s="18"/>
      <c r="W43" s="19"/>
      <c r="X43" s="19"/>
      <c r="Y43" s="19"/>
      <c r="Z43" s="19"/>
      <c r="AA43" s="131"/>
      <c r="AB43" s="131"/>
      <c r="AC43" s="131"/>
      <c r="AD43" s="131"/>
      <c r="AE43" s="131"/>
      <c r="AF43" s="131"/>
      <c r="AG43" s="131"/>
      <c r="AH43" s="131"/>
      <c r="AI43" s="131"/>
      <c r="AJ43" s="131"/>
      <c r="AK43" s="131"/>
      <c r="AL43" s="131">
        <f t="shared" si="17"/>
        <v>0</v>
      </c>
      <c r="AM43" s="14"/>
    </row>
    <row r="44" spans="1:40">
      <c r="A44" s="14" t="s">
        <v>215</v>
      </c>
      <c r="B44" s="14" t="s">
        <v>69</v>
      </c>
      <c r="C44" s="14"/>
      <c r="D44" s="14" t="s">
        <v>496</v>
      </c>
      <c r="E44" s="15" t="s">
        <v>70</v>
      </c>
      <c r="F44" s="15" t="s">
        <v>497</v>
      </c>
      <c r="G44" s="15" t="s">
        <v>498</v>
      </c>
      <c r="H44" s="130"/>
      <c r="I44" s="130"/>
      <c r="J44" s="130"/>
      <c r="K44" s="16"/>
      <c r="L44" s="16"/>
      <c r="M44" s="17">
        <f t="shared" si="15"/>
        <v>0</v>
      </c>
      <c r="N44" s="17"/>
      <c r="O44" s="16"/>
      <c r="P44" s="16"/>
      <c r="Q44" s="16"/>
      <c r="R44" s="17">
        <f t="shared" si="16"/>
        <v>0</v>
      </c>
      <c r="S44" s="17"/>
      <c r="T44" s="16"/>
      <c r="U44" s="18"/>
      <c r="V44" s="18"/>
      <c r="W44" s="19"/>
      <c r="X44" s="19"/>
      <c r="Y44" s="19"/>
      <c r="Z44" s="19"/>
      <c r="AA44" s="131"/>
      <c r="AB44" s="131"/>
      <c r="AC44" s="131"/>
      <c r="AD44" s="131"/>
      <c r="AE44" s="131"/>
      <c r="AF44" s="131"/>
      <c r="AG44" s="131"/>
      <c r="AH44" s="131"/>
      <c r="AI44" s="131"/>
      <c r="AJ44" s="131"/>
      <c r="AK44" s="131"/>
      <c r="AL44" s="131">
        <f t="shared" si="17"/>
        <v>0</v>
      </c>
      <c r="AM44" s="14"/>
    </row>
    <row r="45" spans="1:40">
      <c r="A45" s="14" t="s">
        <v>215</v>
      </c>
      <c r="B45" s="14" t="s">
        <v>71</v>
      </c>
      <c r="C45" s="14"/>
      <c r="D45" s="14" t="s">
        <v>499</v>
      </c>
      <c r="E45" s="15" t="s">
        <v>72</v>
      </c>
      <c r="F45" s="15" t="s">
        <v>500</v>
      </c>
      <c r="G45" s="15" t="s">
        <v>501</v>
      </c>
      <c r="H45" s="15" t="s">
        <v>502</v>
      </c>
      <c r="I45" s="15" t="s">
        <v>503</v>
      </c>
      <c r="J45" s="130"/>
      <c r="K45" s="16"/>
      <c r="L45" s="16"/>
      <c r="M45" s="17">
        <f t="shared" si="15"/>
        <v>0</v>
      </c>
      <c r="N45" s="17"/>
      <c r="O45" s="16"/>
      <c r="P45" s="16"/>
      <c r="Q45" s="16"/>
      <c r="R45" s="17">
        <f t="shared" si="16"/>
        <v>0</v>
      </c>
      <c r="S45" s="17"/>
      <c r="T45" s="16"/>
      <c r="U45" s="18"/>
      <c r="V45" s="18"/>
      <c r="W45" s="19"/>
      <c r="X45" s="19"/>
      <c r="Y45" s="19"/>
      <c r="Z45" s="19"/>
      <c r="AA45" s="131"/>
      <c r="AB45" s="131"/>
      <c r="AC45" s="131"/>
      <c r="AD45" s="131"/>
      <c r="AE45" s="131"/>
      <c r="AF45" s="131"/>
      <c r="AG45" s="131"/>
      <c r="AH45" s="131"/>
      <c r="AI45" s="131"/>
      <c r="AJ45" s="131"/>
      <c r="AK45" s="131"/>
      <c r="AL45" s="131">
        <f t="shared" si="17"/>
        <v>0</v>
      </c>
      <c r="AM45" s="14"/>
    </row>
    <row r="46" spans="1:40">
      <c r="A46" s="14" t="s">
        <v>215</v>
      </c>
      <c r="B46" s="14" t="s">
        <v>29</v>
      </c>
      <c r="C46" s="14"/>
      <c r="D46" s="14" t="s">
        <v>504</v>
      </c>
      <c r="E46" s="15" t="s">
        <v>73</v>
      </c>
      <c r="F46" s="15" t="s">
        <v>505</v>
      </c>
      <c r="G46" s="130"/>
      <c r="H46" s="130"/>
      <c r="I46" s="130"/>
      <c r="J46" s="130"/>
      <c r="K46" s="16"/>
      <c r="L46" s="16"/>
      <c r="M46" s="17">
        <f t="shared" si="15"/>
        <v>0</v>
      </c>
      <c r="N46" s="17"/>
      <c r="O46" s="16"/>
      <c r="P46" s="16"/>
      <c r="Q46" s="16"/>
      <c r="R46" s="17">
        <f t="shared" si="16"/>
        <v>0</v>
      </c>
      <c r="S46" s="17"/>
      <c r="T46" s="16"/>
      <c r="U46" s="18"/>
      <c r="V46" s="18"/>
      <c r="W46" s="19"/>
      <c r="X46" s="19"/>
      <c r="Y46" s="19"/>
      <c r="Z46" s="19"/>
      <c r="AA46" s="131"/>
      <c r="AB46" s="131"/>
      <c r="AC46" s="131"/>
      <c r="AD46" s="131"/>
      <c r="AE46" s="131"/>
      <c r="AF46" s="131"/>
      <c r="AG46" s="131"/>
      <c r="AH46" s="131"/>
      <c r="AI46" s="131"/>
      <c r="AJ46" s="131"/>
      <c r="AK46" s="131"/>
      <c r="AL46" s="131">
        <f t="shared" si="17"/>
        <v>0</v>
      </c>
      <c r="AM46" s="14"/>
    </row>
    <row r="47" spans="1:40" ht="14.25">
      <c r="A47" s="14" t="s">
        <v>215</v>
      </c>
      <c r="B47" s="14" t="s">
        <v>27</v>
      </c>
      <c r="C47" s="14"/>
      <c r="D47" s="14" t="s">
        <v>506</v>
      </c>
      <c r="E47" s="15" t="s">
        <v>74</v>
      </c>
      <c r="F47" s="15" t="s">
        <v>507</v>
      </c>
      <c r="G47" s="132" t="s">
        <v>559</v>
      </c>
      <c r="H47" s="130"/>
      <c r="I47" s="130"/>
      <c r="J47" s="130"/>
      <c r="K47" s="16"/>
      <c r="L47" s="16"/>
      <c r="M47" s="17">
        <f t="shared" si="15"/>
        <v>0</v>
      </c>
      <c r="N47" s="17"/>
      <c r="O47" s="16"/>
      <c r="P47" s="16"/>
      <c r="Q47" s="16"/>
      <c r="R47" s="17">
        <f t="shared" si="16"/>
        <v>0</v>
      </c>
      <c r="S47" s="17"/>
      <c r="T47" s="16"/>
      <c r="U47" s="18"/>
      <c r="V47" s="18"/>
      <c r="W47" s="19"/>
      <c r="X47" s="19"/>
      <c r="Y47" s="19"/>
      <c r="Z47" s="19"/>
      <c r="AA47" s="131"/>
      <c r="AB47" s="131"/>
      <c r="AC47" s="131"/>
      <c r="AD47" s="131"/>
      <c r="AE47" s="131"/>
      <c r="AF47" s="131"/>
      <c r="AG47" s="131"/>
      <c r="AH47" s="131"/>
      <c r="AI47" s="131"/>
      <c r="AJ47" s="131"/>
      <c r="AK47" s="131"/>
      <c r="AL47" s="131">
        <f t="shared" si="17"/>
        <v>0</v>
      </c>
      <c r="AM47" s="14"/>
    </row>
    <row r="48" spans="1:40">
      <c r="A48" s="14" t="s">
        <v>215</v>
      </c>
      <c r="B48" s="14" t="s">
        <v>75</v>
      </c>
      <c r="C48" s="14"/>
      <c r="D48" s="14" t="s">
        <v>508</v>
      </c>
      <c r="E48" s="15" t="s">
        <v>76</v>
      </c>
      <c r="F48" s="15" t="s">
        <v>509</v>
      </c>
      <c r="G48" s="15" t="s">
        <v>510</v>
      </c>
      <c r="H48" s="130"/>
      <c r="I48" s="130"/>
      <c r="J48" s="130"/>
      <c r="K48" s="16"/>
      <c r="L48" s="16"/>
      <c r="M48" s="17">
        <f t="shared" si="15"/>
        <v>0</v>
      </c>
      <c r="N48" s="17"/>
      <c r="O48" s="16"/>
      <c r="P48" s="16"/>
      <c r="Q48" s="16"/>
      <c r="R48" s="17">
        <f t="shared" si="16"/>
        <v>0</v>
      </c>
      <c r="S48" s="17"/>
      <c r="T48" s="16"/>
      <c r="U48" s="18"/>
      <c r="V48" s="18"/>
      <c r="W48" s="19"/>
      <c r="X48" s="19"/>
      <c r="Y48" s="19"/>
      <c r="Z48" s="19"/>
      <c r="AA48" s="131"/>
      <c r="AB48" s="131"/>
      <c r="AC48" s="131"/>
      <c r="AD48" s="131"/>
      <c r="AE48" s="131"/>
      <c r="AF48" s="131"/>
      <c r="AG48" s="131"/>
      <c r="AH48" s="131"/>
      <c r="AI48" s="131"/>
      <c r="AJ48" s="131"/>
      <c r="AK48" s="131"/>
      <c r="AL48" s="131">
        <f t="shared" si="17"/>
        <v>0</v>
      </c>
      <c r="AM48" s="14"/>
    </row>
    <row r="49" spans="1:39">
      <c r="A49" s="14" t="s">
        <v>215</v>
      </c>
      <c r="B49" s="14" t="s">
        <v>31</v>
      </c>
      <c r="C49" s="14"/>
      <c r="D49" s="14" t="s">
        <v>511</v>
      </c>
      <c r="E49" s="15" t="s">
        <v>32</v>
      </c>
      <c r="F49" s="21" t="s">
        <v>512</v>
      </c>
      <c r="G49" s="130"/>
      <c r="H49" s="130"/>
      <c r="I49" s="130"/>
      <c r="J49" s="130"/>
      <c r="K49" s="16"/>
      <c r="L49" s="16"/>
      <c r="M49" s="17">
        <f t="shared" si="15"/>
        <v>0</v>
      </c>
      <c r="N49" s="17"/>
      <c r="O49" s="16"/>
      <c r="P49" s="16"/>
      <c r="Q49" s="16"/>
      <c r="R49" s="17">
        <f t="shared" si="16"/>
        <v>0</v>
      </c>
      <c r="S49" s="17"/>
      <c r="T49" s="16"/>
      <c r="U49" s="18"/>
      <c r="V49" s="18"/>
      <c r="W49" s="19"/>
      <c r="X49" s="19"/>
      <c r="Y49" s="19"/>
      <c r="Z49" s="19"/>
      <c r="AA49" s="131"/>
      <c r="AB49" s="131"/>
      <c r="AC49" s="131"/>
      <c r="AD49" s="131"/>
      <c r="AE49" s="131"/>
      <c r="AF49" s="131"/>
      <c r="AG49" s="131"/>
      <c r="AH49" s="131"/>
      <c r="AI49" s="131"/>
      <c r="AJ49" s="131"/>
      <c r="AK49" s="131"/>
      <c r="AL49" s="131">
        <f t="shared" si="17"/>
        <v>0</v>
      </c>
      <c r="AM49" s="14"/>
    </row>
    <row r="50" spans="1:39">
      <c r="A50" s="14" t="s">
        <v>216</v>
      </c>
      <c r="B50" s="14" t="s">
        <v>25</v>
      </c>
      <c r="C50" s="14"/>
      <c r="D50" s="14" t="s">
        <v>560</v>
      </c>
      <c r="E50" s="15" t="s">
        <v>77</v>
      </c>
      <c r="F50" s="15" t="s">
        <v>513</v>
      </c>
      <c r="G50" s="15" t="s">
        <v>514</v>
      </c>
      <c r="H50" s="15" t="s">
        <v>515</v>
      </c>
      <c r="I50" s="130"/>
      <c r="J50" s="130"/>
      <c r="K50" s="16"/>
      <c r="L50" s="16"/>
      <c r="M50" s="17">
        <f t="shared" si="15"/>
        <v>0</v>
      </c>
      <c r="N50" s="17"/>
      <c r="O50" s="16"/>
      <c r="P50" s="16"/>
      <c r="Q50" s="16"/>
      <c r="R50" s="17">
        <f t="shared" si="16"/>
        <v>0</v>
      </c>
      <c r="S50" s="17"/>
      <c r="T50" s="16"/>
      <c r="U50" s="18"/>
      <c r="V50" s="18"/>
      <c r="W50" s="19"/>
      <c r="X50" s="19"/>
      <c r="Y50" s="19"/>
      <c r="Z50" s="19"/>
      <c r="AA50" s="131"/>
      <c r="AB50" s="131"/>
      <c r="AC50" s="131"/>
      <c r="AD50" s="131"/>
      <c r="AE50" s="131"/>
      <c r="AF50" s="131"/>
      <c r="AG50" s="131"/>
      <c r="AH50" s="131"/>
      <c r="AI50" s="131"/>
      <c r="AJ50" s="131"/>
      <c r="AK50" s="131"/>
      <c r="AL50" s="131">
        <f t="shared" si="17"/>
        <v>0</v>
      </c>
      <c r="AM50" s="14"/>
    </row>
    <row r="51" spans="1:39">
      <c r="A51" s="14" t="s">
        <v>216</v>
      </c>
      <c r="B51" s="14" t="s">
        <v>63</v>
      </c>
      <c r="C51" s="14"/>
      <c r="D51" s="14" t="s">
        <v>516</v>
      </c>
      <c r="E51" s="15" t="s">
        <v>78</v>
      </c>
      <c r="F51" s="15" t="s">
        <v>517</v>
      </c>
      <c r="G51" s="15" t="s">
        <v>518</v>
      </c>
      <c r="H51" s="15" t="s">
        <v>519</v>
      </c>
      <c r="I51" s="130"/>
      <c r="J51" s="130"/>
      <c r="K51" s="16"/>
      <c r="L51" s="16"/>
      <c r="M51" s="17">
        <f t="shared" si="15"/>
        <v>0</v>
      </c>
      <c r="N51" s="17"/>
      <c r="O51" s="16"/>
      <c r="P51" s="16"/>
      <c r="Q51" s="16"/>
      <c r="R51" s="17">
        <f t="shared" si="16"/>
        <v>0</v>
      </c>
      <c r="S51" s="17"/>
      <c r="T51" s="16"/>
      <c r="U51" s="18"/>
      <c r="V51" s="18"/>
      <c r="W51" s="19"/>
      <c r="X51" s="19"/>
      <c r="Y51" s="19"/>
      <c r="Z51" s="19"/>
      <c r="AA51" s="131"/>
      <c r="AB51" s="131"/>
      <c r="AC51" s="131"/>
      <c r="AD51" s="131"/>
      <c r="AE51" s="131"/>
      <c r="AF51" s="131"/>
      <c r="AG51" s="131"/>
      <c r="AH51" s="131"/>
      <c r="AI51" s="131"/>
      <c r="AJ51" s="131"/>
      <c r="AK51" s="131"/>
      <c r="AL51" s="131">
        <f t="shared" si="17"/>
        <v>0</v>
      </c>
      <c r="AM51" s="14"/>
    </row>
    <row r="52" spans="1:39">
      <c r="A52" s="14" t="s">
        <v>216</v>
      </c>
      <c r="B52" s="14" t="s">
        <v>58</v>
      </c>
      <c r="C52" s="14"/>
      <c r="D52" s="14" t="s">
        <v>520</v>
      </c>
      <c r="E52" s="15" t="s">
        <v>79</v>
      </c>
      <c r="F52" s="15" t="s">
        <v>521</v>
      </c>
      <c r="G52" s="130"/>
      <c r="H52" s="130"/>
      <c r="I52" s="130"/>
      <c r="J52" s="130"/>
      <c r="K52" s="16"/>
      <c r="L52" s="16"/>
      <c r="M52" s="17">
        <f t="shared" si="15"/>
        <v>0</v>
      </c>
      <c r="N52" s="17"/>
      <c r="O52" s="16"/>
      <c r="P52" s="16"/>
      <c r="Q52" s="16"/>
      <c r="R52" s="17">
        <f t="shared" si="16"/>
        <v>0</v>
      </c>
      <c r="S52" s="17"/>
      <c r="T52" s="16"/>
      <c r="U52" s="18"/>
      <c r="V52" s="18"/>
      <c r="W52" s="19"/>
      <c r="X52" s="19"/>
      <c r="Y52" s="19"/>
      <c r="Z52" s="19"/>
      <c r="AA52" s="131"/>
      <c r="AB52" s="131"/>
      <c r="AC52" s="131"/>
      <c r="AD52" s="131"/>
      <c r="AE52" s="131"/>
      <c r="AF52" s="131"/>
      <c r="AG52" s="131"/>
      <c r="AH52" s="131"/>
      <c r="AI52" s="131"/>
      <c r="AJ52" s="131"/>
      <c r="AK52" s="131"/>
      <c r="AL52" s="131">
        <f t="shared" si="17"/>
        <v>0</v>
      </c>
      <c r="AM52" s="14"/>
    </row>
    <row r="53" spans="1:39">
      <c r="A53" s="14" t="s">
        <v>216</v>
      </c>
      <c r="B53" s="14" t="s">
        <v>33</v>
      </c>
      <c r="C53" s="14"/>
      <c r="D53" s="14" t="s">
        <v>522</v>
      </c>
      <c r="E53" s="15" t="s">
        <v>80</v>
      </c>
      <c r="F53" s="15" t="s">
        <v>523</v>
      </c>
      <c r="G53" s="130"/>
      <c r="H53" s="130"/>
      <c r="I53" s="130"/>
      <c r="J53" s="130"/>
      <c r="K53" s="16"/>
      <c r="L53" s="16"/>
      <c r="M53" s="17">
        <f t="shared" si="15"/>
        <v>0</v>
      </c>
      <c r="N53" s="17"/>
      <c r="O53" s="16"/>
      <c r="P53" s="16"/>
      <c r="Q53" s="16"/>
      <c r="R53" s="17">
        <f t="shared" si="16"/>
        <v>0</v>
      </c>
      <c r="S53" s="17"/>
      <c r="T53" s="16"/>
      <c r="U53" s="18"/>
      <c r="V53" s="18"/>
      <c r="W53" s="19"/>
      <c r="X53" s="19"/>
      <c r="Y53" s="19"/>
      <c r="Z53" s="19"/>
      <c r="AA53" s="131"/>
      <c r="AB53" s="131"/>
      <c r="AC53" s="131"/>
      <c r="AD53" s="131"/>
      <c r="AE53" s="131"/>
      <c r="AF53" s="131"/>
      <c r="AG53" s="131"/>
      <c r="AH53" s="131"/>
      <c r="AI53" s="131"/>
      <c r="AJ53" s="131"/>
      <c r="AK53" s="131"/>
      <c r="AL53" s="131">
        <f t="shared" si="17"/>
        <v>0</v>
      </c>
      <c r="AM53" s="14"/>
    </row>
    <row r="54" spans="1:39">
      <c r="A54" s="14" t="s">
        <v>216</v>
      </c>
      <c r="B54" s="14" t="s">
        <v>71</v>
      </c>
      <c r="C54" s="14"/>
      <c r="D54" s="14" t="s">
        <v>524</v>
      </c>
      <c r="E54" s="15" t="s">
        <v>81</v>
      </c>
      <c r="F54" s="15" t="s">
        <v>525</v>
      </c>
      <c r="G54" s="130"/>
      <c r="H54" s="130"/>
      <c r="I54" s="130"/>
      <c r="J54" s="130"/>
      <c r="K54" s="16"/>
      <c r="L54" s="16"/>
      <c r="M54" s="17">
        <f t="shared" si="15"/>
        <v>0</v>
      </c>
      <c r="N54" s="17"/>
      <c r="O54" s="16"/>
      <c r="P54" s="16"/>
      <c r="Q54" s="16"/>
      <c r="R54" s="17">
        <f t="shared" si="16"/>
        <v>0</v>
      </c>
      <c r="S54" s="17"/>
      <c r="T54" s="16"/>
      <c r="U54" s="18"/>
      <c r="V54" s="18"/>
      <c r="W54" s="19"/>
      <c r="X54" s="19"/>
      <c r="Y54" s="19"/>
      <c r="Z54" s="19"/>
      <c r="AA54" s="131"/>
      <c r="AB54" s="131"/>
      <c r="AC54" s="131"/>
      <c r="AD54" s="131"/>
      <c r="AE54" s="131"/>
      <c r="AF54" s="131"/>
      <c r="AG54" s="131"/>
      <c r="AH54" s="131"/>
      <c r="AI54" s="131"/>
      <c r="AJ54" s="131"/>
      <c r="AK54" s="131"/>
      <c r="AL54" s="131">
        <f t="shared" si="17"/>
        <v>0</v>
      </c>
      <c r="AM54" s="14"/>
    </row>
    <row r="55" spans="1:39">
      <c r="A55" s="14" t="s">
        <v>216</v>
      </c>
      <c r="B55" s="14" t="s">
        <v>38</v>
      </c>
      <c r="C55" s="14"/>
      <c r="D55" s="14" t="s">
        <v>526</v>
      </c>
      <c r="E55" s="15" t="s">
        <v>82</v>
      </c>
      <c r="F55" s="15" t="s">
        <v>527</v>
      </c>
      <c r="G55" s="15" t="s">
        <v>528</v>
      </c>
      <c r="H55" s="15" t="s">
        <v>529</v>
      </c>
      <c r="I55" s="15" t="s">
        <v>530</v>
      </c>
      <c r="J55" s="130"/>
      <c r="K55" s="16"/>
      <c r="L55" s="16"/>
      <c r="M55" s="17">
        <f t="shared" si="15"/>
        <v>0</v>
      </c>
      <c r="N55" s="17"/>
      <c r="O55" s="16"/>
      <c r="P55" s="16"/>
      <c r="Q55" s="16"/>
      <c r="R55" s="17">
        <f t="shared" si="16"/>
        <v>0</v>
      </c>
      <c r="S55" s="17"/>
      <c r="T55" s="16"/>
      <c r="U55" s="18"/>
      <c r="V55" s="18"/>
      <c r="W55" s="19"/>
      <c r="X55" s="19"/>
      <c r="Y55" s="19"/>
      <c r="Z55" s="19"/>
      <c r="AA55" s="131"/>
      <c r="AB55" s="131"/>
      <c r="AC55" s="131"/>
      <c r="AD55" s="131"/>
      <c r="AE55" s="131"/>
      <c r="AF55" s="131"/>
      <c r="AG55" s="131"/>
      <c r="AH55" s="131"/>
      <c r="AI55" s="131"/>
      <c r="AJ55" s="131"/>
      <c r="AK55" s="131"/>
      <c r="AL55" s="131">
        <f t="shared" si="17"/>
        <v>0</v>
      </c>
      <c r="AM55" s="14"/>
    </row>
    <row r="56" spans="1:39">
      <c r="A56" s="14" t="s">
        <v>216</v>
      </c>
      <c r="B56" s="14" t="s">
        <v>29</v>
      </c>
      <c r="C56" s="14"/>
      <c r="D56" s="14" t="s">
        <v>531</v>
      </c>
      <c r="E56" s="15" t="s">
        <v>52</v>
      </c>
      <c r="F56" s="15" t="s">
        <v>532</v>
      </c>
      <c r="G56" s="15" t="s">
        <v>533</v>
      </c>
      <c r="H56" s="130"/>
      <c r="I56" s="130"/>
      <c r="J56" s="130"/>
      <c r="K56" s="16"/>
      <c r="L56" s="16"/>
      <c r="M56" s="17">
        <f t="shared" si="15"/>
        <v>0</v>
      </c>
      <c r="N56" s="17"/>
      <c r="O56" s="16"/>
      <c r="P56" s="16"/>
      <c r="Q56" s="16"/>
      <c r="R56" s="17">
        <f t="shared" si="16"/>
        <v>0</v>
      </c>
      <c r="S56" s="17"/>
      <c r="T56" s="16"/>
      <c r="U56" s="18"/>
      <c r="V56" s="18"/>
      <c r="W56" s="19"/>
      <c r="X56" s="19"/>
      <c r="Y56" s="19"/>
      <c r="Z56" s="19"/>
      <c r="AA56" s="131"/>
      <c r="AB56" s="131"/>
      <c r="AC56" s="131"/>
      <c r="AD56" s="131"/>
      <c r="AE56" s="131"/>
      <c r="AF56" s="131"/>
      <c r="AG56" s="131"/>
      <c r="AH56" s="131"/>
      <c r="AI56" s="131"/>
      <c r="AJ56" s="131"/>
      <c r="AK56" s="131"/>
      <c r="AL56" s="131">
        <f t="shared" si="17"/>
        <v>0</v>
      </c>
      <c r="AM56" s="14"/>
    </row>
    <row r="57" spans="1:39">
      <c r="A57" s="14" t="s">
        <v>216</v>
      </c>
      <c r="B57" s="14" t="s">
        <v>83</v>
      </c>
      <c r="C57" s="14"/>
      <c r="D57" s="14" t="s">
        <v>534</v>
      </c>
      <c r="E57" s="15" t="s">
        <v>84</v>
      </c>
      <c r="F57" s="15" t="s">
        <v>535</v>
      </c>
      <c r="G57" s="15" t="s">
        <v>536</v>
      </c>
      <c r="H57" s="130"/>
      <c r="I57" s="130"/>
      <c r="J57" s="130"/>
      <c r="K57" s="16"/>
      <c r="L57" s="16"/>
      <c r="M57" s="17">
        <f t="shared" si="15"/>
        <v>0</v>
      </c>
      <c r="N57" s="17"/>
      <c r="O57" s="16"/>
      <c r="P57" s="16"/>
      <c r="Q57" s="16"/>
      <c r="R57" s="17">
        <f t="shared" si="16"/>
        <v>0</v>
      </c>
      <c r="S57" s="17"/>
      <c r="T57" s="16"/>
      <c r="U57" s="18"/>
      <c r="V57" s="18"/>
      <c r="W57" s="19"/>
      <c r="X57" s="19"/>
      <c r="Y57" s="19"/>
      <c r="Z57" s="19"/>
      <c r="AA57" s="131"/>
      <c r="AB57" s="131"/>
      <c r="AC57" s="131"/>
      <c r="AD57" s="131"/>
      <c r="AE57" s="131"/>
      <c r="AF57" s="131"/>
      <c r="AG57" s="131"/>
      <c r="AH57" s="131"/>
      <c r="AI57" s="131"/>
      <c r="AJ57" s="131"/>
      <c r="AK57" s="131"/>
      <c r="AL57" s="131">
        <f t="shared" si="17"/>
        <v>0</v>
      </c>
      <c r="AM57" s="14"/>
    </row>
    <row r="58" spans="1:39">
      <c r="A58" s="14" t="s">
        <v>216</v>
      </c>
      <c r="B58" s="14" t="s">
        <v>85</v>
      </c>
      <c r="C58" s="14"/>
      <c r="D58" s="14" t="s">
        <v>537</v>
      </c>
      <c r="E58" s="15" t="s">
        <v>86</v>
      </c>
      <c r="F58" s="15" t="s">
        <v>538</v>
      </c>
      <c r="G58" s="15" t="s">
        <v>539</v>
      </c>
      <c r="H58" s="130"/>
      <c r="I58" s="130"/>
      <c r="J58" s="130"/>
      <c r="K58" s="16"/>
      <c r="L58" s="16"/>
      <c r="M58" s="17">
        <f t="shared" si="15"/>
        <v>0</v>
      </c>
      <c r="N58" s="17"/>
      <c r="O58" s="16"/>
      <c r="P58" s="16"/>
      <c r="Q58" s="16"/>
      <c r="R58" s="17">
        <f t="shared" si="16"/>
        <v>0</v>
      </c>
      <c r="S58" s="17"/>
      <c r="T58" s="16"/>
      <c r="U58" s="18"/>
      <c r="V58" s="18"/>
      <c r="W58" s="19"/>
      <c r="X58" s="19"/>
      <c r="Y58" s="19"/>
      <c r="Z58" s="19"/>
      <c r="AA58" s="131"/>
      <c r="AB58" s="131"/>
      <c r="AC58" s="131"/>
      <c r="AD58" s="131"/>
      <c r="AE58" s="131"/>
      <c r="AF58" s="131"/>
      <c r="AG58" s="131"/>
      <c r="AH58" s="131"/>
      <c r="AI58" s="131"/>
      <c r="AJ58" s="131"/>
      <c r="AK58" s="131"/>
      <c r="AL58" s="131">
        <f t="shared" si="17"/>
        <v>0</v>
      </c>
      <c r="AM58" s="14"/>
    </row>
    <row r="59" spans="1:39">
      <c r="W59" s="28"/>
      <c r="X59" s="29"/>
      <c r="Y59" s="29"/>
      <c r="Z59" s="29"/>
      <c r="AA59" s="121"/>
      <c r="AB59" s="121"/>
      <c r="AC59" s="121"/>
      <c r="AD59" s="121"/>
      <c r="AE59" s="121"/>
      <c r="AF59" s="121"/>
      <c r="AG59" s="121"/>
      <c r="AH59" s="121"/>
      <c r="AI59" s="121"/>
      <c r="AJ59" s="121"/>
      <c r="AK59" s="121"/>
      <c r="AL59" s="121"/>
    </row>
  </sheetData>
  <autoFilter ref="A1:AM58"/>
  <phoneticPr fontId="3"/>
  <pageMargins left="0.78700000000000003" right="0.78700000000000003" top="0.98399999999999999" bottom="0.98399999999999999" header="0.51200000000000001" footer="0.51200000000000001"/>
  <pageSetup paperSize="9" scale="3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N27"/>
  <sheetViews>
    <sheetView workbookViewId="0">
      <pane xSplit="2" ySplit="1" topLeftCell="C14" activePane="bottomRight" state="frozen"/>
      <selection pane="topRight" activeCell="C1" sqref="C1"/>
      <selection pane="bottomLeft" activeCell="A2" sqref="A2"/>
      <selection pane="bottomRight" activeCell="B6" sqref="B6"/>
    </sheetView>
  </sheetViews>
  <sheetFormatPr defaultRowHeight="13.5"/>
  <cols>
    <col min="1" max="1" width="3.75" style="22" bestFit="1" customWidth="1"/>
    <col min="2" max="2" width="11.375" style="22" bestFit="1" customWidth="1"/>
    <col min="3" max="3" width="4.75" style="22" customWidth="1"/>
    <col min="4" max="4" width="11.25" style="23" customWidth="1"/>
    <col min="5" max="7" width="8.25" style="24" customWidth="1"/>
    <col min="8" max="8" width="7.5" style="25" customWidth="1"/>
    <col min="9" max="9" width="7" style="25" customWidth="1"/>
    <col min="10" max="10" width="7.5" style="27" customWidth="1"/>
    <col min="11" max="11" width="7.25" style="26" customWidth="1"/>
    <col min="12" max="12" width="7.25" style="24" customWidth="1"/>
    <col min="13" max="13" width="8.125" style="24" customWidth="1"/>
    <col min="14" max="15" width="6.875" style="25" customWidth="1"/>
    <col min="16" max="16" width="7.75" style="27" customWidth="1"/>
    <col min="17" max="17" width="7.125" style="30" customWidth="1"/>
    <col min="18" max="20" width="7.125" style="31" customWidth="1"/>
    <col min="21" max="31" width="7.125" style="39" customWidth="1"/>
    <col min="32" max="32" width="6.75" style="31" bestFit="1" customWidth="1"/>
    <col min="33" max="33" width="5.75" style="31" bestFit="1" customWidth="1"/>
    <col min="36" max="40" width="9" style="43"/>
  </cols>
  <sheetData>
    <row r="1" spans="1:40" s="6" customFormat="1">
      <c r="A1" s="1" t="s">
        <v>87</v>
      </c>
      <c r="B1" s="1" t="s">
        <v>88</v>
      </c>
      <c r="C1" s="1" t="s">
        <v>114</v>
      </c>
      <c r="D1" s="1" t="s">
        <v>90</v>
      </c>
      <c r="E1" s="2" t="s">
        <v>115</v>
      </c>
      <c r="F1" s="2" t="s">
        <v>116</v>
      </c>
      <c r="G1" s="2" t="s">
        <v>117</v>
      </c>
      <c r="H1" s="3" t="s">
        <v>91</v>
      </c>
      <c r="I1" s="3" t="s">
        <v>92</v>
      </c>
      <c r="J1" s="3" t="s">
        <v>112</v>
      </c>
      <c r="K1" s="2" t="s">
        <v>109</v>
      </c>
      <c r="L1" s="2" t="s">
        <v>110</v>
      </c>
      <c r="M1" s="2" t="s">
        <v>111</v>
      </c>
      <c r="N1" s="3" t="s">
        <v>93</v>
      </c>
      <c r="O1" s="3" t="s">
        <v>94</v>
      </c>
      <c r="P1" s="3" t="s">
        <v>113</v>
      </c>
      <c r="Q1" s="4" t="s">
        <v>95</v>
      </c>
      <c r="R1" s="5" t="s">
        <v>96</v>
      </c>
      <c r="S1" s="5" t="s">
        <v>0</v>
      </c>
      <c r="T1" s="5" t="s">
        <v>1</v>
      </c>
      <c r="U1" s="34" t="s">
        <v>97</v>
      </c>
      <c r="V1" s="35" t="s">
        <v>2</v>
      </c>
      <c r="W1" s="35" t="s">
        <v>3</v>
      </c>
      <c r="X1" s="35" t="s">
        <v>4</v>
      </c>
      <c r="Y1" s="35" t="s">
        <v>5</v>
      </c>
      <c r="Z1" s="34" t="s">
        <v>6</v>
      </c>
      <c r="AA1" s="35" t="s">
        <v>7</v>
      </c>
      <c r="AB1" s="35" t="s">
        <v>8</v>
      </c>
      <c r="AC1" s="35" t="s">
        <v>9</v>
      </c>
      <c r="AD1" s="35" t="s">
        <v>10</v>
      </c>
      <c r="AE1" s="35" t="s">
        <v>11</v>
      </c>
      <c r="AF1" s="5" t="s">
        <v>12</v>
      </c>
      <c r="AG1" s="5" t="s">
        <v>98</v>
      </c>
      <c r="AH1" s="6" t="s">
        <v>105</v>
      </c>
      <c r="AI1" s="6" t="s">
        <v>156</v>
      </c>
      <c r="AJ1" s="40" t="s">
        <v>142</v>
      </c>
      <c r="AK1" s="40" t="s">
        <v>141</v>
      </c>
      <c r="AL1" s="40" t="s">
        <v>153</v>
      </c>
      <c r="AM1" s="40" t="s">
        <v>154</v>
      </c>
      <c r="AN1" s="40" t="s">
        <v>155</v>
      </c>
    </row>
    <row r="2" spans="1:40" s="13" customFormat="1">
      <c r="A2" s="7"/>
      <c r="B2" s="7" t="s">
        <v>564</v>
      </c>
      <c r="C2" s="7"/>
      <c r="D2" s="8"/>
      <c r="E2" s="9"/>
      <c r="F2" s="9"/>
      <c r="G2" s="9"/>
      <c r="H2" s="10"/>
      <c r="I2" s="10"/>
      <c r="J2" s="11"/>
      <c r="K2" s="9"/>
      <c r="L2" s="9"/>
      <c r="M2" s="9"/>
      <c r="N2" s="10"/>
      <c r="O2" s="10"/>
      <c r="P2" s="11"/>
      <c r="Q2" s="12">
        <v>15</v>
      </c>
      <c r="R2" s="12">
        <v>15</v>
      </c>
      <c r="S2" s="12">
        <v>5</v>
      </c>
      <c r="T2" s="12">
        <v>5</v>
      </c>
      <c r="U2" s="36">
        <v>10</v>
      </c>
      <c r="V2" s="36">
        <v>8</v>
      </c>
      <c r="W2" s="36">
        <v>4</v>
      </c>
      <c r="X2" s="36">
        <v>7</v>
      </c>
      <c r="Y2" s="36">
        <v>7</v>
      </c>
      <c r="Z2" s="36">
        <v>4</v>
      </c>
      <c r="AA2" s="36">
        <v>2</v>
      </c>
      <c r="AB2" s="36">
        <v>6</v>
      </c>
      <c r="AC2" s="36">
        <v>4</v>
      </c>
      <c r="AD2" s="36">
        <v>3</v>
      </c>
      <c r="AE2" s="36">
        <v>5</v>
      </c>
      <c r="AF2" s="12">
        <f>SUM(K2:AE2)</f>
        <v>100</v>
      </c>
      <c r="AG2" s="32"/>
      <c r="AJ2" s="42"/>
      <c r="AK2" s="41"/>
      <c r="AL2" s="41"/>
      <c r="AM2" s="41"/>
      <c r="AN2" s="41"/>
    </row>
    <row r="3" spans="1:40">
      <c r="A3" s="14" t="s">
        <v>118</v>
      </c>
      <c r="B3" s="14" t="s">
        <v>126</v>
      </c>
      <c r="C3" s="14">
        <v>35</v>
      </c>
      <c r="D3" s="15" t="s">
        <v>20</v>
      </c>
      <c r="E3" s="16">
        <v>0.10694444444444444</v>
      </c>
      <c r="F3" s="16">
        <v>0.12581018518518519</v>
      </c>
      <c r="G3" s="16">
        <v>0.17211805555555557</v>
      </c>
      <c r="H3" s="17">
        <f t="shared" ref="H3:H27" si="0">F3-E3</f>
        <v>1.8865740740740752E-2</v>
      </c>
      <c r="I3" s="17">
        <f t="shared" ref="I3:I20" si="1">H3-MIN($H$3:$H$21)</f>
        <v>5.7870370370832758E-5</v>
      </c>
      <c r="J3" s="18">
        <v>8.3333333333333329E-2</v>
      </c>
      <c r="K3" s="16">
        <v>0.34375</v>
      </c>
      <c r="L3" s="16">
        <v>0.3646875</v>
      </c>
      <c r="M3" s="16">
        <v>0.4846064814814815</v>
      </c>
      <c r="N3" s="17">
        <f t="shared" ref="N3:N27" si="2">L3-K3</f>
        <v>2.0937499999999998E-2</v>
      </c>
      <c r="O3" s="17">
        <f t="shared" ref="O3:O21" si="3">N3-MIN($N$3:$N$21)</f>
        <v>2.3148148148155467E-4</v>
      </c>
      <c r="P3" s="18">
        <v>0.14583333333333334</v>
      </c>
      <c r="Q3" s="19">
        <f t="shared" ref="Q3:Q27" si="4">MAX(Q$2-ROUND(I3*60*24*0.5,1),0)</f>
        <v>15</v>
      </c>
      <c r="R3" s="19">
        <f t="shared" ref="R3:R27" si="5">MAX(R$2-ROUND(O3*60*24*0.5,1),0)</f>
        <v>14.8</v>
      </c>
      <c r="S3" s="19">
        <f>MAX(MIN(5+ROUND((J3-(G3-E3))*60*24*0.25,1),5),0)</f>
        <v>5</v>
      </c>
      <c r="T3" s="19">
        <f>MAX(MIN(5+ROUND((P3-(M3-K3))*60*24*0.25,1),5),0)</f>
        <v>5</v>
      </c>
      <c r="U3" s="37">
        <v>9.5</v>
      </c>
      <c r="V3" s="37">
        <v>8</v>
      </c>
      <c r="W3" s="37">
        <v>4</v>
      </c>
      <c r="X3" s="37">
        <v>6.6</v>
      </c>
      <c r="Y3" s="37">
        <v>7</v>
      </c>
      <c r="Z3" s="37">
        <v>3.5</v>
      </c>
      <c r="AA3" s="37">
        <v>1.8</v>
      </c>
      <c r="AB3" s="37">
        <v>6</v>
      </c>
      <c r="AC3" s="37">
        <v>4</v>
      </c>
      <c r="AD3" s="37">
        <v>3</v>
      </c>
      <c r="AE3" s="37">
        <f t="shared" ref="AE3:AE27" si="6">$AE$2-AI3</f>
        <v>5</v>
      </c>
      <c r="AF3" s="19">
        <f t="shared" ref="AF3:AF27" si="7">SUM(Q3:AE3)</f>
        <v>98.199999999999989</v>
      </c>
      <c r="AG3" s="33">
        <f t="shared" ref="AG3:AG10" si="8">RANK(AF3,$AF$3:$AF$10)</f>
        <v>1</v>
      </c>
      <c r="AI3" s="43">
        <f t="shared" ref="AI3:AI27" si="9">SUM(AJ3:AN3)</f>
        <v>0</v>
      </c>
    </row>
    <row r="4" spans="1:40">
      <c r="A4" s="14" t="s">
        <v>118</v>
      </c>
      <c r="B4" s="14" t="s">
        <v>123</v>
      </c>
      <c r="C4" s="14">
        <v>32</v>
      </c>
      <c r="D4" s="15" t="s">
        <v>143</v>
      </c>
      <c r="E4" s="16">
        <v>0.10486111111111111</v>
      </c>
      <c r="F4" s="16">
        <v>0.12471064814814814</v>
      </c>
      <c r="G4" s="16">
        <v>0.17153935185185185</v>
      </c>
      <c r="H4" s="17">
        <f t="shared" si="0"/>
        <v>1.9849537037037027E-2</v>
      </c>
      <c r="I4" s="17">
        <f t="shared" si="1"/>
        <v>1.0416666666671071E-3</v>
      </c>
      <c r="J4" s="18">
        <v>8.3333333333333329E-2</v>
      </c>
      <c r="K4" s="16">
        <v>0.3444444444444445</v>
      </c>
      <c r="L4" s="16">
        <v>0.36515046296296294</v>
      </c>
      <c r="M4" s="16">
        <v>0.48249999999999998</v>
      </c>
      <c r="N4" s="17">
        <f t="shared" si="2"/>
        <v>2.0706018518518443E-2</v>
      </c>
      <c r="O4" s="17">
        <f t="shared" si="3"/>
        <v>0</v>
      </c>
      <c r="P4" s="18">
        <v>0.14583333333333334</v>
      </c>
      <c r="Q4" s="19">
        <f t="shared" si="4"/>
        <v>14.2</v>
      </c>
      <c r="R4" s="19">
        <f t="shared" si="5"/>
        <v>15</v>
      </c>
      <c r="S4" s="19">
        <f t="shared" ref="S4:S27" si="10">MAX(MIN(5+ROUND((J4-(G4-E4))*60*24*0.25,1),5),0)</f>
        <v>5</v>
      </c>
      <c r="T4" s="19">
        <f t="shared" ref="T4:T27" si="11">MAX(MIN(5+ROUND((P4-(M4-K4))*60*24*0.25,1),5),0)</f>
        <v>5</v>
      </c>
      <c r="U4" s="37">
        <v>10</v>
      </c>
      <c r="V4" s="37">
        <v>8</v>
      </c>
      <c r="W4" s="37">
        <v>4</v>
      </c>
      <c r="X4" s="37">
        <v>6.4</v>
      </c>
      <c r="Y4" s="37">
        <v>6</v>
      </c>
      <c r="Z4" s="37">
        <v>4</v>
      </c>
      <c r="AA4" s="37">
        <v>2</v>
      </c>
      <c r="AB4" s="37">
        <v>6</v>
      </c>
      <c r="AC4" s="37">
        <v>4</v>
      </c>
      <c r="AD4" s="37">
        <v>2.4</v>
      </c>
      <c r="AE4" s="37">
        <f t="shared" si="6"/>
        <v>5</v>
      </c>
      <c r="AF4" s="19">
        <f>SUM(Q4:AE4)</f>
        <v>97.000000000000014</v>
      </c>
      <c r="AG4" s="33">
        <f t="shared" si="8"/>
        <v>2</v>
      </c>
      <c r="AI4" s="43">
        <f t="shared" si="9"/>
        <v>0</v>
      </c>
    </row>
    <row r="5" spans="1:40">
      <c r="A5" s="14" t="s">
        <v>118</v>
      </c>
      <c r="B5" s="14" t="s">
        <v>122</v>
      </c>
      <c r="C5" s="14">
        <v>31</v>
      </c>
      <c r="D5" s="15" t="s">
        <v>16</v>
      </c>
      <c r="E5" s="16">
        <v>0.10416666666666667</v>
      </c>
      <c r="F5" s="16">
        <v>0.12509259259259259</v>
      </c>
      <c r="G5" s="16">
        <v>0.16099537037037037</v>
      </c>
      <c r="H5" s="17">
        <f t="shared" si="0"/>
        <v>2.0925925925925917E-2</v>
      </c>
      <c r="I5" s="17">
        <f>H5-MIN($H$3:$H$21)</f>
        <v>2.1180555555559977E-3</v>
      </c>
      <c r="J5" s="18">
        <v>8.3333333333333329E-2</v>
      </c>
      <c r="K5" s="16">
        <v>0.34513888888888888</v>
      </c>
      <c r="L5" s="16">
        <v>0.36736111111111108</v>
      </c>
      <c r="M5" s="16">
        <v>0.44791666666666669</v>
      </c>
      <c r="N5" s="17">
        <f t="shared" si="2"/>
        <v>2.2222222222222199E-2</v>
      </c>
      <c r="O5" s="17">
        <f>N5-MIN($N$3:$N$21)</f>
        <v>1.5162037037037557E-3</v>
      </c>
      <c r="P5" s="18">
        <v>0.14583333333333334</v>
      </c>
      <c r="Q5" s="19">
        <f>MAX(Q$2-ROUND(I5*60*24*0.5,1),0)</f>
        <v>13.5</v>
      </c>
      <c r="R5" s="19">
        <f t="shared" si="5"/>
        <v>13.9</v>
      </c>
      <c r="S5" s="19">
        <f t="shared" si="10"/>
        <v>5</v>
      </c>
      <c r="T5" s="19">
        <f t="shared" si="11"/>
        <v>5</v>
      </c>
      <c r="U5" s="37">
        <v>10</v>
      </c>
      <c r="V5" s="37">
        <v>8</v>
      </c>
      <c r="W5" s="37">
        <v>3.1</v>
      </c>
      <c r="X5" s="37">
        <v>4.2</v>
      </c>
      <c r="Y5" s="37">
        <v>3</v>
      </c>
      <c r="Z5" s="37">
        <v>3</v>
      </c>
      <c r="AA5" s="37">
        <v>1.6</v>
      </c>
      <c r="AB5" s="37">
        <v>5.8</v>
      </c>
      <c r="AC5" s="37">
        <v>3.5</v>
      </c>
      <c r="AD5" s="37">
        <v>3</v>
      </c>
      <c r="AE5" s="37">
        <f>$AE$2-AI5</f>
        <v>4.5</v>
      </c>
      <c r="AF5" s="19">
        <f t="shared" si="7"/>
        <v>87.1</v>
      </c>
      <c r="AG5" s="33">
        <f t="shared" si="8"/>
        <v>3</v>
      </c>
      <c r="AI5" s="43">
        <f>SUM(AJ5:AN5)</f>
        <v>0.5</v>
      </c>
      <c r="AL5" s="43">
        <v>0.5</v>
      </c>
    </row>
    <row r="6" spans="1:40">
      <c r="A6" s="14" t="s">
        <v>118</v>
      </c>
      <c r="B6" s="14" t="s">
        <v>124</v>
      </c>
      <c r="C6" s="14">
        <v>33</v>
      </c>
      <c r="D6" s="15" t="s">
        <v>144</v>
      </c>
      <c r="E6" s="16">
        <v>0.10555555555555556</v>
      </c>
      <c r="F6" s="16">
        <v>0.12724537037037037</v>
      </c>
      <c r="G6" s="16">
        <v>0.17519675925925926</v>
      </c>
      <c r="H6" s="17">
        <f t="shared" si="0"/>
        <v>2.1689814814814815E-2</v>
      </c>
      <c r="I6" s="17">
        <f t="shared" si="1"/>
        <v>2.8819444444448949E-3</v>
      </c>
      <c r="J6" s="18">
        <v>8.3333333333333329E-2</v>
      </c>
      <c r="K6" s="16">
        <v>0.34583333333333338</v>
      </c>
      <c r="L6" s="16">
        <v>0.3700694444444444</v>
      </c>
      <c r="M6" s="16">
        <v>0.46711805555555558</v>
      </c>
      <c r="N6" s="17">
        <f t="shared" si="2"/>
        <v>2.4236111111111014E-2</v>
      </c>
      <c r="O6" s="17">
        <f t="shared" si="3"/>
        <v>3.5300925925925708E-3</v>
      </c>
      <c r="P6" s="18">
        <v>0.14583333333333334</v>
      </c>
      <c r="Q6" s="19">
        <f t="shared" si="4"/>
        <v>12.9</v>
      </c>
      <c r="R6" s="19">
        <f t="shared" si="5"/>
        <v>12.5</v>
      </c>
      <c r="S6" s="19">
        <f t="shared" si="10"/>
        <v>5</v>
      </c>
      <c r="T6" s="19">
        <f t="shared" si="11"/>
        <v>5</v>
      </c>
      <c r="U6" s="37">
        <v>10</v>
      </c>
      <c r="V6" s="37">
        <v>8</v>
      </c>
      <c r="W6" s="37">
        <v>4</v>
      </c>
      <c r="X6" s="37">
        <v>5.3</v>
      </c>
      <c r="Y6" s="37">
        <v>3</v>
      </c>
      <c r="Z6" s="37">
        <v>2.5</v>
      </c>
      <c r="AA6" s="37">
        <v>1.8</v>
      </c>
      <c r="AB6" s="37">
        <v>5.2</v>
      </c>
      <c r="AC6" s="37">
        <v>2.5</v>
      </c>
      <c r="AD6" s="37">
        <v>3</v>
      </c>
      <c r="AE6" s="37">
        <f t="shared" si="6"/>
        <v>5</v>
      </c>
      <c r="AF6" s="19">
        <f t="shared" si="7"/>
        <v>85.699999999999989</v>
      </c>
      <c r="AG6" s="33">
        <f t="shared" si="8"/>
        <v>4</v>
      </c>
      <c r="AI6" s="43">
        <f t="shared" si="9"/>
        <v>0</v>
      </c>
    </row>
    <row r="7" spans="1:40">
      <c r="A7" s="14" t="s">
        <v>118</v>
      </c>
      <c r="B7" s="14" t="s">
        <v>128</v>
      </c>
      <c r="C7" s="14">
        <v>38</v>
      </c>
      <c r="D7" s="15" t="s">
        <v>147</v>
      </c>
      <c r="E7" s="16">
        <v>0.10833333333333334</v>
      </c>
      <c r="F7" s="16">
        <v>0.13047453703703704</v>
      </c>
      <c r="G7" s="16">
        <v>0.17231481481481481</v>
      </c>
      <c r="H7" s="17">
        <f t="shared" si="0"/>
        <v>2.2141203703703705E-2</v>
      </c>
      <c r="I7" s="17">
        <f t="shared" si="1"/>
        <v>3.333333333333785E-3</v>
      </c>
      <c r="J7" s="18">
        <v>8.3333333333333329E-2</v>
      </c>
      <c r="K7" s="16">
        <v>0.34652777777777777</v>
      </c>
      <c r="L7" s="16">
        <v>0.3744675925925926</v>
      </c>
      <c r="M7" s="16">
        <v>0.46909722222222222</v>
      </c>
      <c r="N7" s="17">
        <f t="shared" si="2"/>
        <v>2.7939814814814834E-2</v>
      </c>
      <c r="O7" s="17">
        <f t="shared" si="3"/>
        <v>7.2337962962963909E-3</v>
      </c>
      <c r="P7" s="18">
        <v>0.14583333333333334</v>
      </c>
      <c r="Q7" s="19">
        <f t="shared" si="4"/>
        <v>12.6</v>
      </c>
      <c r="R7" s="19">
        <f t="shared" si="5"/>
        <v>9.8000000000000007</v>
      </c>
      <c r="S7" s="19">
        <f t="shared" si="10"/>
        <v>5</v>
      </c>
      <c r="T7" s="19">
        <f t="shared" si="11"/>
        <v>5</v>
      </c>
      <c r="U7" s="37">
        <v>8</v>
      </c>
      <c r="V7" s="37">
        <v>6.8</v>
      </c>
      <c r="W7" s="37">
        <v>4</v>
      </c>
      <c r="X7" s="37">
        <v>3.9</v>
      </c>
      <c r="Y7" s="37">
        <v>3</v>
      </c>
      <c r="Z7" s="37">
        <v>2.2000000000000002</v>
      </c>
      <c r="AA7" s="37">
        <v>1.6</v>
      </c>
      <c r="AB7" s="37">
        <v>4.8</v>
      </c>
      <c r="AC7" s="37">
        <v>2</v>
      </c>
      <c r="AD7" s="37">
        <v>2.4</v>
      </c>
      <c r="AE7" s="37">
        <f t="shared" si="6"/>
        <v>5</v>
      </c>
      <c r="AF7" s="19">
        <f t="shared" si="7"/>
        <v>76.100000000000009</v>
      </c>
      <c r="AG7" s="33">
        <f t="shared" si="8"/>
        <v>5</v>
      </c>
      <c r="AI7" s="43">
        <f t="shared" si="9"/>
        <v>0</v>
      </c>
    </row>
    <row r="8" spans="1:40">
      <c r="A8" s="14" t="s">
        <v>118</v>
      </c>
      <c r="B8" s="14" t="s">
        <v>125</v>
      </c>
      <c r="C8" s="14">
        <v>34</v>
      </c>
      <c r="D8" s="15" t="s">
        <v>145</v>
      </c>
      <c r="E8" s="16">
        <v>0.10625</v>
      </c>
      <c r="F8" s="16">
        <v>0.13453703703703704</v>
      </c>
      <c r="G8" s="16">
        <v>0.17252314814814815</v>
      </c>
      <c r="H8" s="17">
        <f t="shared" si="0"/>
        <v>2.8287037037037041E-2</v>
      </c>
      <c r="I8" s="17">
        <f t="shared" si="1"/>
        <v>9.4791666666671215E-3</v>
      </c>
      <c r="J8" s="18">
        <v>8.3333333333333329E-2</v>
      </c>
      <c r="K8" s="16">
        <v>0.34791666666666665</v>
      </c>
      <c r="L8" s="16">
        <v>0.37473379629629627</v>
      </c>
      <c r="M8" s="16">
        <v>0.47499999999999998</v>
      </c>
      <c r="N8" s="17">
        <f t="shared" si="2"/>
        <v>2.6817129629629621E-2</v>
      </c>
      <c r="O8" s="17">
        <f t="shared" si="3"/>
        <v>6.1111111111111782E-3</v>
      </c>
      <c r="P8" s="18">
        <v>0.14583333333333334</v>
      </c>
      <c r="Q8" s="19">
        <f t="shared" si="4"/>
        <v>8.1999999999999993</v>
      </c>
      <c r="R8" s="19">
        <f t="shared" si="5"/>
        <v>10.6</v>
      </c>
      <c r="S8" s="19">
        <f t="shared" si="10"/>
        <v>5</v>
      </c>
      <c r="T8" s="19">
        <f t="shared" si="11"/>
        <v>5</v>
      </c>
      <c r="U8" s="37">
        <v>7.5</v>
      </c>
      <c r="V8" s="37">
        <v>3.7</v>
      </c>
      <c r="W8" s="37">
        <v>3.5</v>
      </c>
      <c r="X8" s="37">
        <v>0.9</v>
      </c>
      <c r="Y8" s="37">
        <v>1</v>
      </c>
      <c r="Z8" s="37">
        <v>2</v>
      </c>
      <c r="AA8" s="37">
        <v>1</v>
      </c>
      <c r="AB8" s="37">
        <v>4.8</v>
      </c>
      <c r="AC8" s="37">
        <v>1.5</v>
      </c>
      <c r="AD8" s="37">
        <v>2.4</v>
      </c>
      <c r="AE8" s="37">
        <f t="shared" si="6"/>
        <v>4.5999999999999996</v>
      </c>
      <c r="AF8" s="19">
        <f t="shared" si="7"/>
        <v>61.699999999999996</v>
      </c>
      <c r="AG8" s="33">
        <f t="shared" si="8"/>
        <v>6</v>
      </c>
      <c r="AI8" s="43">
        <f t="shared" si="9"/>
        <v>0.4</v>
      </c>
      <c r="AK8" s="43">
        <v>0.4</v>
      </c>
    </row>
    <row r="9" spans="1:40">
      <c r="A9" s="14" t="s">
        <v>118</v>
      </c>
      <c r="B9" s="14" t="s">
        <v>127</v>
      </c>
      <c r="C9" s="14">
        <v>36</v>
      </c>
      <c r="D9" s="15" t="s">
        <v>146</v>
      </c>
      <c r="E9" s="16">
        <v>0.1076388888888889</v>
      </c>
      <c r="F9" s="16">
        <v>0.13540509259259259</v>
      </c>
      <c r="G9" s="16">
        <v>0.17357638888888891</v>
      </c>
      <c r="H9" s="17">
        <f>F9-E9</f>
        <v>2.7766203703703696E-2</v>
      </c>
      <c r="I9" s="17">
        <f t="shared" si="1"/>
        <v>8.9583333333337761E-3</v>
      </c>
      <c r="J9" s="18">
        <v>8.3333333333333329E-2</v>
      </c>
      <c r="K9" s="16">
        <v>0.34722222222222227</v>
      </c>
      <c r="L9" s="16">
        <v>0.37885416666666666</v>
      </c>
      <c r="M9" s="16">
        <v>0.45332175925925927</v>
      </c>
      <c r="N9" s="17">
        <f t="shared" si="2"/>
        <v>3.1631944444444393E-2</v>
      </c>
      <c r="O9" s="17">
        <f t="shared" si="3"/>
        <v>1.092592592592595E-2</v>
      </c>
      <c r="P9" s="18">
        <v>0.14583333333333334</v>
      </c>
      <c r="Q9" s="19">
        <f t="shared" si="4"/>
        <v>8.5</v>
      </c>
      <c r="R9" s="19">
        <f t="shared" si="5"/>
        <v>7.1</v>
      </c>
      <c r="S9" s="19">
        <f t="shared" si="10"/>
        <v>5</v>
      </c>
      <c r="T9" s="19">
        <f t="shared" si="11"/>
        <v>5</v>
      </c>
      <c r="U9" s="37">
        <v>5</v>
      </c>
      <c r="V9" s="37">
        <v>6.7</v>
      </c>
      <c r="W9" s="37">
        <v>4</v>
      </c>
      <c r="X9" s="37">
        <v>2.2999999999999998</v>
      </c>
      <c r="Y9" s="37">
        <v>0</v>
      </c>
      <c r="Z9" s="37">
        <v>2</v>
      </c>
      <c r="AA9" s="37">
        <v>1.6</v>
      </c>
      <c r="AB9" s="37">
        <v>4</v>
      </c>
      <c r="AC9" s="37">
        <v>0</v>
      </c>
      <c r="AD9" s="37">
        <v>2.4</v>
      </c>
      <c r="AE9" s="37">
        <f t="shared" si="6"/>
        <v>4.8</v>
      </c>
      <c r="AF9" s="19">
        <f t="shared" si="7"/>
        <v>58.4</v>
      </c>
      <c r="AG9" s="33">
        <f t="shared" si="8"/>
        <v>7</v>
      </c>
      <c r="AI9" s="43">
        <f t="shared" si="9"/>
        <v>0.2</v>
      </c>
      <c r="AK9" s="43">
        <v>0.2</v>
      </c>
    </row>
    <row r="10" spans="1:40" ht="14.25" thickBot="1">
      <c r="A10" s="52" t="s">
        <v>118</v>
      </c>
      <c r="B10" s="52" t="s">
        <v>129</v>
      </c>
      <c r="C10" s="52">
        <v>39</v>
      </c>
      <c r="D10" s="53" t="s">
        <v>148</v>
      </c>
      <c r="E10" s="54">
        <v>0.10902777777777778</v>
      </c>
      <c r="F10" s="54">
        <v>0.14803240740740739</v>
      </c>
      <c r="G10" s="54">
        <v>0.1829861111111111</v>
      </c>
      <c r="H10" s="55">
        <f t="shared" si="0"/>
        <v>3.9004629629629611E-2</v>
      </c>
      <c r="I10" s="55">
        <f t="shared" si="1"/>
        <v>2.0196759259259692E-2</v>
      </c>
      <c r="J10" s="56">
        <v>8.3333333333333329E-2</v>
      </c>
      <c r="K10" s="54">
        <v>0.34861111111111115</v>
      </c>
      <c r="L10" s="54">
        <v>0.39619212962962963</v>
      </c>
      <c r="M10" s="54">
        <v>0.47958333333333331</v>
      </c>
      <c r="N10" s="55">
        <f t="shared" si="2"/>
        <v>4.7581018518518481E-2</v>
      </c>
      <c r="O10" s="55">
        <f t="shared" si="3"/>
        <v>2.6875000000000038E-2</v>
      </c>
      <c r="P10" s="56">
        <v>0.14583333333333334</v>
      </c>
      <c r="Q10" s="57">
        <f t="shared" si="4"/>
        <v>0.5</v>
      </c>
      <c r="R10" s="57">
        <f t="shared" si="5"/>
        <v>0</v>
      </c>
      <c r="S10" s="57">
        <f t="shared" si="10"/>
        <v>5</v>
      </c>
      <c r="T10" s="57">
        <f t="shared" si="11"/>
        <v>5</v>
      </c>
      <c r="U10" s="58">
        <v>2.6</v>
      </c>
      <c r="V10" s="58">
        <v>6.2</v>
      </c>
      <c r="W10" s="58">
        <v>3.5</v>
      </c>
      <c r="X10" s="58">
        <v>2</v>
      </c>
      <c r="Y10" s="58">
        <v>0</v>
      </c>
      <c r="Z10" s="58">
        <v>1.7</v>
      </c>
      <c r="AA10" s="58">
        <v>1.6</v>
      </c>
      <c r="AB10" s="58">
        <v>4.5999999999999996</v>
      </c>
      <c r="AC10" s="58">
        <v>0.5</v>
      </c>
      <c r="AD10" s="58">
        <v>3</v>
      </c>
      <c r="AE10" s="58">
        <f t="shared" si="6"/>
        <v>4</v>
      </c>
      <c r="AF10" s="57">
        <f t="shared" si="7"/>
        <v>40.200000000000003</v>
      </c>
      <c r="AG10" s="59">
        <f t="shared" si="8"/>
        <v>8</v>
      </c>
      <c r="AH10" s="60"/>
      <c r="AI10" s="61">
        <f t="shared" si="9"/>
        <v>1</v>
      </c>
      <c r="AJ10" s="61">
        <v>1</v>
      </c>
      <c r="AK10" s="61"/>
      <c r="AL10" s="61"/>
      <c r="AM10" s="61"/>
      <c r="AN10" s="61"/>
    </row>
    <row r="11" spans="1:40" ht="14.25" thickTop="1">
      <c r="A11" s="44" t="s">
        <v>119</v>
      </c>
      <c r="B11" s="44" t="s">
        <v>135</v>
      </c>
      <c r="C11" s="44">
        <v>15</v>
      </c>
      <c r="D11" s="45" t="s">
        <v>143</v>
      </c>
      <c r="E11" s="46">
        <v>0.111805555555556</v>
      </c>
      <c r="F11" s="46">
        <v>0.13061342592592592</v>
      </c>
      <c r="G11" s="46">
        <v>0.16800925925925925</v>
      </c>
      <c r="H11" s="47">
        <f t="shared" si="0"/>
        <v>1.880787037036992E-2</v>
      </c>
      <c r="I11" s="47">
        <f t="shared" si="1"/>
        <v>0</v>
      </c>
      <c r="J11" s="48">
        <v>8.3333333333333329E-2</v>
      </c>
      <c r="K11" s="46">
        <v>0.34930555555555554</v>
      </c>
      <c r="L11" s="46">
        <v>0.37048611111111113</v>
      </c>
      <c r="M11" s="46">
        <v>0.46079861111111109</v>
      </c>
      <c r="N11" s="47">
        <f t="shared" si="2"/>
        <v>2.1180555555555591E-2</v>
      </c>
      <c r="O11" s="47">
        <f t="shared" si="3"/>
        <v>4.7453703703714822E-4</v>
      </c>
      <c r="P11" s="48">
        <v>0.14583333333333334</v>
      </c>
      <c r="Q11" s="49">
        <f t="shared" si="4"/>
        <v>15</v>
      </c>
      <c r="R11" s="49">
        <f t="shared" si="5"/>
        <v>14.7</v>
      </c>
      <c r="S11" s="49">
        <f t="shared" si="10"/>
        <v>5</v>
      </c>
      <c r="T11" s="49">
        <f t="shared" si="11"/>
        <v>5</v>
      </c>
      <c r="U11" s="50">
        <v>10</v>
      </c>
      <c r="V11" s="50">
        <v>7.8</v>
      </c>
      <c r="W11" s="50">
        <v>4</v>
      </c>
      <c r="X11" s="50">
        <v>6.4</v>
      </c>
      <c r="Y11" s="50">
        <v>6</v>
      </c>
      <c r="Z11" s="50">
        <v>2.7</v>
      </c>
      <c r="AA11" s="50">
        <v>2</v>
      </c>
      <c r="AB11" s="50">
        <v>6</v>
      </c>
      <c r="AC11" s="50">
        <v>4</v>
      </c>
      <c r="AD11" s="50">
        <v>1.8</v>
      </c>
      <c r="AE11" s="50">
        <f t="shared" si="6"/>
        <v>4</v>
      </c>
      <c r="AF11" s="49">
        <f t="shared" si="7"/>
        <v>94.4</v>
      </c>
      <c r="AG11" s="51">
        <f t="shared" ref="AG11:AG21" si="12">RANK(AF11,$AF$11:$AF$21)</f>
        <v>1</v>
      </c>
      <c r="AI11" s="43">
        <f t="shared" si="9"/>
        <v>1</v>
      </c>
      <c r="AM11" s="43">
        <v>1</v>
      </c>
    </row>
    <row r="12" spans="1:40">
      <c r="A12" s="14" t="s">
        <v>119</v>
      </c>
      <c r="B12" s="14" t="s">
        <v>134</v>
      </c>
      <c r="C12" s="14">
        <v>12</v>
      </c>
      <c r="D12" s="15" t="s">
        <v>20</v>
      </c>
      <c r="E12" s="16">
        <v>0.11041666666666666</v>
      </c>
      <c r="F12" s="16">
        <v>0.12973379629629631</v>
      </c>
      <c r="G12" s="16">
        <v>0.17604166666666665</v>
      </c>
      <c r="H12" s="17">
        <f t="shared" si="0"/>
        <v>1.9317129629629642E-2</v>
      </c>
      <c r="I12" s="17">
        <f t="shared" si="1"/>
        <v>5.0925925925972282E-4</v>
      </c>
      <c r="J12" s="18">
        <v>8.3333333333333329E-2</v>
      </c>
      <c r="K12" s="16">
        <v>0.35</v>
      </c>
      <c r="L12" s="16">
        <v>0.37224537037037037</v>
      </c>
      <c r="M12" s="16">
        <v>0.47361111111111115</v>
      </c>
      <c r="N12" s="17">
        <f t="shared" si="2"/>
        <v>2.2245370370370388E-2</v>
      </c>
      <c r="O12" s="17">
        <f t="shared" si="3"/>
        <v>1.5393518518519445E-3</v>
      </c>
      <c r="P12" s="18">
        <v>0.14583333333333334</v>
      </c>
      <c r="Q12" s="19">
        <f t="shared" si="4"/>
        <v>14.6</v>
      </c>
      <c r="R12" s="19">
        <f t="shared" si="5"/>
        <v>13.9</v>
      </c>
      <c r="S12" s="19">
        <f t="shared" si="10"/>
        <v>5</v>
      </c>
      <c r="T12" s="19">
        <f t="shared" si="11"/>
        <v>5</v>
      </c>
      <c r="U12" s="37">
        <v>9.5</v>
      </c>
      <c r="V12" s="37">
        <v>7.4</v>
      </c>
      <c r="W12" s="37">
        <v>4</v>
      </c>
      <c r="X12" s="37">
        <v>6.1</v>
      </c>
      <c r="Y12" s="37">
        <v>6</v>
      </c>
      <c r="Z12" s="37">
        <v>3.5</v>
      </c>
      <c r="AA12" s="37">
        <v>0.8</v>
      </c>
      <c r="AB12" s="37">
        <v>6</v>
      </c>
      <c r="AC12" s="37">
        <v>3.5</v>
      </c>
      <c r="AD12" s="37">
        <v>3</v>
      </c>
      <c r="AE12" s="37">
        <f t="shared" si="6"/>
        <v>5</v>
      </c>
      <c r="AF12" s="19">
        <f t="shared" si="7"/>
        <v>93.3</v>
      </c>
      <c r="AG12" s="33">
        <f t="shared" si="12"/>
        <v>2</v>
      </c>
      <c r="AI12" s="43">
        <f t="shared" si="9"/>
        <v>0</v>
      </c>
    </row>
    <row r="13" spans="1:40">
      <c r="A13" s="14" t="s">
        <v>119</v>
      </c>
      <c r="B13" s="14" t="s">
        <v>136</v>
      </c>
      <c r="C13" s="14">
        <v>20</v>
      </c>
      <c r="D13" s="15" t="s">
        <v>20</v>
      </c>
      <c r="E13" s="16">
        <v>0.113888888888889</v>
      </c>
      <c r="F13" s="16">
        <v>0.13570601851851852</v>
      </c>
      <c r="G13" s="16">
        <v>0.19212962962962962</v>
      </c>
      <c r="H13" s="17">
        <f t="shared" si="0"/>
        <v>2.181712962962952E-2</v>
      </c>
      <c r="I13" s="17">
        <f t="shared" si="1"/>
        <v>3.0092592592596001E-3</v>
      </c>
      <c r="J13" s="18">
        <v>8.3333333333333329E-2</v>
      </c>
      <c r="K13" s="16">
        <v>0.35138888888888892</v>
      </c>
      <c r="L13" s="16">
        <v>0.37609953703703702</v>
      </c>
      <c r="M13" s="16">
        <v>0.47173611111111113</v>
      </c>
      <c r="N13" s="17">
        <f t="shared" si="2"/>
        <v>2.4710648148148107E-2</v>
      </c>
      <c r="O13" s="17">
        <f t="shared" si="3"/>
        <v>4.0046296296296635E-3</v>
      </c>
      <c r="P13" s="18">
        <v>0.14583333333333334</v>
      </c>
      <c r="Q13" s="19">
        <f t="shared" si="4"/>
        <v>12.8</v>
      </c>
      <c r="R13" s="19">
        <f t="shared" si="5"/>
        <v>12.1</v>
      </c>
      <c r="S13" s="19">
        <f t="shared" si="10"/>
        <v>5</v>
      </c>
      <c r="T13" s="19">
        <f t="shared" si="11"/>
        <v>5</v>
      </c>
      <c r="U13" s="37">
        <v>9</v>
      </c>
      <c r="V13" s="37">
        <v>7.3</v>
      </c>
      <c r="W13" s="37">
        <v>4</v>
      </c>
      <c r="X13" s="37">
        <v>5.0999999999999996</v>
      </c>
      <c r="Y13" s="37">
        <v>6</v>
      </c>
      <c r="Z13" s="37">
        <v>3.5</v>
      </c>
      <c r="AA13" s="37">
        <v>1.6</v>
      </c>
      <c r="AB13" s="37">
        <v>6</v>
      </c>
      <c r="AC13" s="37">
        <v>3</v>
      </c>
      <c r="AD13" s="37">
        <v>2.7</v>
      </c>
      <c r="AE13" s="37">
        <f t="shared" si="6"/>
        <v>5</v>
      </c>
      <c r="AF13" s="19">
        <f t="shared" si="7"/>
        <v>88.1</v>
      </c>
      <c r="AG13" s="33">
        <f t="shared" si="12"/>
        <v>3</v>
      </c>
      <c r="AI13" s="43">
        <f t="shared" si="9"/>
        <v>0</v>
      </c>
    </row>
    <row r="14" spans="1:40">
      <c r="A14" s="14" t="s">
        <v>119</v>
      </c>
      <c r="B14" s="14" t="s">
        <v>131</v>
      </c>
      <c r="C14" s="14">
        <v>16</v>
      </c>
      <c r="D14" s="15" t="s">
        <v>143</v>
      </c>
      <c r="E14" s="16">
        <v>0.1125</v>
      </c>
      <c r="F14" s="16">
        <v>0.13403935185185187</v>
      </c>
      <c r="G14" s="16">
        <v>0.16655092592592594</v>
      </c>
      <c r="H14" s="17">
        <f t="shared" si="0"/>
        <v>2.1539351851851865E-2</v>
      </c>
      <c r="I14" s="17">
        <f t="shared" si="1"/>
        <v>2.7314814814819455E-3</v>
      </c>
      <c r="J14" s="18">
        <v>8.3333333333333329E-2</v>
      </c>
      <c r="K14" s="16">
        <v>0.35069444444444442</v>
      </c>
      <c r="L14" s="16">
        <v>0.37559027777777776</v>
      </c>
      <c r="M14" s="16">
        <v>0.4502430555555556</v>
      </c>
      <c r="N14" s="17">
        <f t="shared" si="2"/>
        <v>2.4895833333333339E-2</v>
      </c>
      <c r="O14" s="17">
        <f t="shared" si="3"/>
        <v>4.1898148148148961E-3</v>
      </c>
      <c r="P14" s="18">
        <v>0.14583333333333334</v>
      </c>
      <c r="Q14" s="19">
        <f t="shared" si="4"/>
        <v>13</v>
      </c>
      <c r="R14" s="19">
        <f t="shared" si="5"/>
        <v>12</v>
      </c>
      <c r="S14" s="19">
        <f t="shared" si="10"/>
        <v>5</v>
      </c>
      <c r="T14" s="19">
        <f t="shared" si="11"/>
        <v>5</v>
      </c>
      <c r="U14" s="37">
        <v>9.8000000000000007</v>
      </c>
      <c r="V14" s="37">
        <v>6</v>
      </c>
      <c r="W14" s="37">
        <v>3.1</v>
      </c>
      <c r="X14" s="37">
        <v>4.9000000000000004</v>
      </c>
      <c r="Y14" s="37">
        <v>4</v>
      </c>
      <c r="Z14" s="37">
        <v>2.7</v>
      </c>
      <c r="AA14" s="37">
        <v>1.8</v>
      </c>
      <c r="AB14" s="37">
        <v>6</v>
      </c>
      <c r="AC14" s="37">
        <v>4</v>
      </c>
      <c r="AD14" s="37">
        <v>1.8</v>
      </c>
      <c r="AE14" s="37">
        <f t="shared" si="6"/>
        <v>4</v>
      </c>
      <c r="AF14" s="19">
        <f t="shared" si="7"/>
        <v>83.1</v>
      </c>
      <c r="AG14" s="33">
        <f t="shared" si="12"/>
        <v>4</v>
      </c>
      <c r="AI14" s="43">
        <f t="shared" si="9"/>
        <v>1</v>
      </c>
      <c r="AM14" s="43">
        <v>1</v>
      </c>
    </row>
    <row r="15" spans="1:40">
      <c r="A15" s="14" t="s">
        <v>119</v>
      </c>
      <c r="B15" s="14" t="s">
        <v>137</v>
      </c>
      <c r="C15" s="14">
        <v>21</v>
      </c>
      <c r="D15" s="15" t="s">
        <v>143</v>
      </c>
      <c r="E15" s="16">
        <v>0.114583333333333</v>
      </c>
      <c r="F15" s="16">
        <v>0.13799768518518518</v>
      </c>
      <c r="G15" s="16">
        <v>0.17186342592592593</v>
      </c>
      <c r="H15" s="17">
        <f t="shared" si="0"/>
        <v>2.3414351851852186E-2</v>
      </c>
      <c r="I15" s="17">
        <f t="shared" si="1"/>
        <v>4.6064814814822663E-3</v>
      </c>
      <c r="J15" s="18">
        <v>8.3333333333333329E-2</v>
      </c>
      <c r="K15" s="16">
        <v>0.3520833333333333</v>
      </c>
      <c r="L15" s="16">
        <v>0.37964120370370374</v>
      </c>
      <c r="M15" s="16">
        <v>0.46417824074074071</v>
      </c>
      <c r="N15" s="17">
        <f t="shared" si="2"/>
        <v>2.7557870370370441E-2</v>
      </c>
      <c r="O15" s="17">
        <f t="shared" si="3"/>
        <v>6.8518518518519977E-3</v>
      </c>
      <c r="P15" s="18">
        <v>0.14583333333333334</v>
      </c>
      <c r="Q15" s="19">
        <f t="shared" si="4"/>
        <v>11.7</v>
      </c>
      <c r="R15" s="19">
        <f t="shared" si="5"/>
        <v>10.1</v>
      </c>
      <c r="S15" s="19">
        <f t="shared" si="10"/>
        <v>5</v>
      </c>
      <c r="T15" s="19">
        <f t="shared" si="11"/>
        <v>5</v>
      </c>
      <c r="U15" s="37">
        <v>7</v>
      </c>
      <c r="V15" s="37">
        <v>8</v>
      </c>
      <c r="W15" s="37">
        <v>3.8</v>
      </c>
      <c r="X15" s="37">
        <v>3.3</v>
      </c>
      <c r="Y15" s="37">
        <v>4</v>
      </c>
      <c r="Z15" s="37">
        <v>3</v>
      </c>
      <c r="AA15" s="37">
        <v>2</v>
      </c>
      <c r="AB15" s="37">
        <v>5.6</v>
      </c>
      <c r="AC15" s="37">
        <v>2.5</v>
      </c>
      <c r="AD15" s="37">
        <v>2.4</v>
      </c>
      <c r="AE15" s="37">
        <f t="shared" si="6"/>
        <v>4</v>
      </c>
      <c r="AF15" s="19">
        <f t="shared" si="7"/>
        <v>77.399999999999991</v>
      </c>
      <c r="AG15" s="33">
        <f t="shared" si="12"/>
        <v>5</v>
      </c>
      <c r="AI15" s="43">
        <f t="shared" si="9"/>
        <v>1</v>
      </c>
      <c r="AM15" s="43">
        <v>1</v>
      </c>
    </row>
    <row r="16" spans="1:40">
      <c r="A16" s="14" t="s">
        <v>119</v>
      </c>
      <c r="B16" s="14" t="s">
        <v>138</v>
      </c>
      <c r="C16" s="14">
        <v>24</v>
      </c>
      <c r="D16" s="15" t="s">
        <v>74</v>
      </c>
      <c r="E16" s="16">
        <v>0.116666666666667</v>
      </c>
      <c r="F16" s="16">
        <v>0.14053240740740741</v>
      </c>
      <c r="G16" s="16">
        <v>0.16666666666666666</v>
      </c>
      <c r="H16" s="17">
        <f t="shared" si="0"/>
        <v>2.386574074074041E-2</v>
      </c>
      <c r="I16" s="17">
        <f t="shared" si="1"/>
        <v>5.0578703703704903E-3</v>
      </c>
      <c r="J16" s="18">
        <v>8.3333333333333329E-2</v>
      </c>
      <c r="K16" s="16">
        <v>0.3527777777777778</v>
      </c>
      <c r="L16" s="16">
        <v>0.37835648148148149</v>
      </c>
      <c r="M16" s="16">
        <v>0.45798611111111115</v>
      </c>
      <c r="N16" s="17">
        <f t="shared" si="2"/>
        <v>2.5578703703703687E-2</v>
      </c>
      <c r="O16" s="17">
        <f t="shared" si="3"/>
        <v>4.8726851851852437E-3</v>
      </c>
      <c r="P16" s="18">
        <v>0.14583333333333334</v>
      </c>
      <c r="Q16" s="19">
        <f t="shared" si="4"/>
        <v>11.4</v>
      </c>
      <c r="R16" s="19">
        <f t="shared" si="5"/>
        <v>11.5</v>
      </c>
      <c r="S16" s="19">
        <f t="shared" si="10"/>
        <v>5</v>
      </c>
      <c r="T16" s="19">
        <f t="shared" si="11"/>
        <v>5</v>
      </c>
      <c r="U16" s="37">
        <v>8.6</v>
      </c>
      <c r="V16" s="37">
        <v>8</v>
      </c>
      <c r="W16" s="37">
        <v>4</v>
      </c>
      <c r="X16" s="37">
        <v>2.5</v>
      </c>
      <c r="Y16" s="37">
        <v>2</v>
      </c>
      <c r="Z16" s="37">
        <v>3.2</v>
      </c>
      <c r="AA16" s="37">
        <v>1.2</v>
      </c>
      <c r="AB16" s="37">
        <v>4.8</v>
      </c>
      <c r="AC16" s="37">
        <v>1.5</v>
      </c>
      <c r="AD16" s="37">
        <v>3</v>
      </c>
      <c r="AE16" s="37">
        <f t="shared" si="6"/>
        <v>5</v>
      </c>
      <c r="AF16" s="19">
        <f t="shared" si="7"/>
        <v>76.7</v>
      </c>
      <c r="AG16" s="33">
        <f t="shared" si="12"/>
        <v>6</v>
      </c>
      <c r="AI16" s="43">
        <f t="shared" si="9"/>
        <v>0</v>
      </c>
    </row>
    <row r="17" spans="1:40">
      <c r="A17" s="14" t="s">
        <v>119</v>
      </c>
      <c r="B17" s="14" t="s">
        <v>122</v>
      </c>
      <c r="C17" s="14">
        <v>18</v>
      </c>
      <c r="D17" s="15" t="s">
        <v>150</v>
      </c>
      <c r="E17" s="16">
        <v>0.113194444444444</v>
      </c>
      <c r="F17" s="16">
        <v>0.13875000000000001</v>
      </c>
      <c r="G17" s="16">
        <v>0.17622685185185186</v>
      </c>
      <c r="H17" s="17">
        <f t="shared" si="0"/>
        <v>2.5555555555556012E-2</v>
      </c>
      <c r="I17" s="17">
        <f t="shared" si="1"/>
        <v>6.7476851851860919E-3</v>
      </c>
      <c r="J17" s="18">
        <v>8.3333333333333329E-2</v>
      </c>
      <c r="K17" s="16">
        <v>0.35416666666666669</v>
      </c>
      <c r="L17" s="16">
        <v>0.38271990740740741</v>
      </c>
      <c r="M17" s="16">
        <v>0.4748263888888889</v>
      </c>
      <c r="N17" s="17">
        <f t="shared" si="2"/>
        <v>2.8553240740740726E-2</v>
      </c>
      <c r="O17" s="17">
        <f>N17-MIN($N$3:$N$21)</f>
        <v>7.8472222222222832E-3</v>
      </c>
      <c r="P17" s="18">
        <v>0.14583333333333334</v>
      </c>
      <c r="Q17" s="19">
        <f t="shared" si="4"/>
        <v>10.1</v>
      </c>
      <c r="R17" s="19">
        <f t="shared" si="5"/>
        <v>9.3000000000000007</v>
      </c>
      <c r="S17" s="19">
        <f t="shared" si="10"/>
        <v>5</v>
      </c>
      <c r="T17" s="19">
        <f t="shared" si="11"/>
        <v>5</v>
      </c>
      <c r="U17" s="37">
        <v>7.8</v>
      </c>
      <c r="V17" s="37">
        <v>7.2</v>
      </c>
      <c r="W17" s="37">
        <v>3.5</v>
      </c>
      <c r="X17" s="37">
        <v>3.7</v>
      </c>
      <c r="Y17" s="37">
        <v>5</v>
      </c>
      <c r="Z17" s="37">
        <v>3</v>
      </c>
      <c r="AA17" s="37">
        <v>0.8</v>
      </c>
      <c r="AB17" s="37">
        <v>5.6</v>
      </c>
      <c r="AC17" s="37">
        <v>3</v>
      </c>
      <c r="AD17" s="37">
        <v>1.2</v>
      </c>
      <c r="AE17" s="37">
        <f t="shared" si="6"/>
        <v>5</v>
      </c>
      <c r="AF17" s="19">
        <f t="shared" si="7"/>
        <v>75.2</v>
      </c>
      <c r="AG17" s="33">
        <f t="shared" si="12"/>
        <v>7</v>
      </c>
      <c r="AI17" s="43">
        <f t="shared" si="9"/>
        <v>0</v>
      </c>
    </row>
    <row r="18" spans="1:40">
      <c r="A18" s="14" t="s">
        <v>119</v>
      </c>
      <c r="B18" s="14" t="s">
        <v>132</v>
      </c>
      <c r="C18" s="14">
        <v>22</v>
      </c>
      <c r="D18" s="15" t="s">
        <v>143</v>
      </c>
      <c r="E18" s="16">
        <v>0.11527777777777801</v>
      </c>
      <c r="F18" s="16">
        <v>0.13998842592592592</v>
      </c>
      <c r="G18" s="16">
        <v>0.17309027777777777</v>
      </c>
      <c r="H18" s="17">
        <f t="shared" si="0"/>
        <v>2.4710648148147912E-2</v>
      </c>
      <c r="I18" s="17">
        <f t="shared" si="1"/>
        <v>5.9027777777779927E-3</v>
      </c>
      <c r="J18" s="18">
        <v>8.3333333333333329E-2</v>
      </c>
      <c r="K18" s="16">
        <v>0.35347222222222219</v>
      </c>
      <c r="L18" s="16">
        <v>0.38343749999999999</v>
      </c>
      <c r="M18" s="16">
        <v>0.47986111111111113</v>
      </c>
      <c r="N18" s="17">
        <f t="shared" si="2"/>
        <v>2.9965277777777799E-2</v>
      </c>
      <c r="O18" s="17">
        <f t="shared" si="3"/>
        <v>9.2592592592593559E-3</v>
      </c>
      <c r="P18" s="18">
        <v>0.14583333333333334</v>
      </c>
      <c r="Q18" s="19">
        <f t="shared" si="4"/>
        <v>10.7</v>
      </c>
      <c r="R18" s="19">
        <f t="shared" si="5"/>
        <v>8.3000000000000007</v>
      </c>
      <c r="S18" s="19">
        <f t="shared" si="10"/>
        <v>5</v>
      </c>
      <c r="T18" s="19">
        <f t="shared" si="11"/>
        <v>5</v>
      </c>
      <c r="U18" s="37">
        <v>9.5</v>
      </c>
      <c r="V18" s="37">
        <v>8</v>
      </c>
      <c r="W18" s="37">
        <v>4</v>
      </c>
      <c r="X18" s="37">
        <v>2.8</v>
      </c>
      <c r="Y18" s="37">
        <v>2</v>
      </c>
      <c r="Z18" s="37">
        <v>2</v>
      </c>
      <c r="AA18" s="37">
        <v>1.2</v>
      </c>
      <c r="AB18" s="37">
        <v>4.8</v>
      </c>
      <c r="AC18" s="37">
        <v>3.5</v>
      </c>
      <c r="AD18" s="37">
        <v>3</v>
      </c>
      <c r="AE18" s="37">
        <f t="shared" si="6"/>
        <v>4</v>
      </c>
      <c r="AF18" s="19">
        <f t="shared" si="7"/>
        <v>73.8</v>
      </c>
      <c r="AG18" s="33">
        <f t="shared" si="12"/>
        <v>8</v>
      </c>
      <c r="AI18" s="43">
        <f t="shared" si="9"/>
        <v>1</v>
      </c>
      <c r="AM18" s="43">
        <v>1</v>
      </c>
    </row>
    <row r="19" spans="1:40">
      <c r="A19" s="14" t="s">
        <v>119</v>
      </c>
      <c r="B19" s="14" t="s">
        <v>130</v>
      </c>
      <c r="C19" s="14">
        <v>11</v>
      </c>
      <c r="D19" s="15" t="s">
        <v>59</v>
      </c>
      <c r="E19" s="16">
        <v>0.10972222222222222</v>
      </c>
      <c r="F19" s="16">
        <v>0.13790509259259259</v>
      </c>
      <c r="G19" s="16">
        <v>0.17337962962962963</v>
      </c>
      <c r="H19" s="17">
        <f t="shared" si="0"/>
        <v>2.8182870370370372E-2</v>
      </c>
      <c r="I19" s="17">
        <f t="shared" si="1"/>
        <v>9.3750000000004524E-3</v>
      </c>
      <c r="J19" s="18">
        <v>8.3333333333333329E-2</v>
      </c>
      <c r="K19" s="16">
        <v>0.35486111111111113</v>
      </c>
      <c r="L19" s="16">
        <v>0.38797453703703705</v>
      </c>
      <c r="M19" s="16">
        <v>0.47546296296296298</v>
      </c>
      <c r="N19" s="17">
        <f t="shared" si="2"/>
        <v>3.3113425925925921E-2</v>
      </c>
      <c r="O19" s="17">
        <f t="shared" si="3"/>
        <v>1.2407407407407478E-2</v>
      </c>
      <c r="P19" s="18">
        <v>0.14583333333333334</v>
      </c>
      <c r="Q19" s="19">
        <f t="shared" si="4"/>
        <v>8.1999999999999993</v>
      </c>
      <c r="R19" s="19">
        <f t="shared" si="5"/>
        <v>6.1</v>
      </c>
      <c r="S19" s="19">
        <f t="shared" si="10"/>
        <v>5</v>
      </c>
      <c r="T19" s="19">
        <f t="shared" si="11"/>
        <v>5</v>
      </c>
      <c r="U19" s="37">
        <v>3.6</v>
      </c>
      <c r="V19" s="37">
        <v>3.8</v>
      </c>
      <c r="W19" s="37">
        <v>3.6</v>
      </c>
      <c r="X19" s="37">
        <v>0</v>
      </c>
      <c r="Y19" s="37">
        <v>2</v>
      </c>
      <c r="Z19" s="37">
        <v>1.5</v>
      </c>
      <c r="AA19" s="37">
        <v>1.2</v>
      </c>
      <c r="AB19" s="37">
        <v>2.8</v>
      </c>
      <c r="AC19" s="37">
        <v>0</v>
      </c>
      <c r="AD19" s="37">
        <v>1.8</v>
      </c>
      <c r="AE19" s="37">
        <f t="shared" si="6"/>
        <v>2.5</v>
      </c>
      <c r="AF19" s="19">
        <f t="shared" si="7"/>
        <v>47.099999999999994</v>
      </c>
      <c r="AG19" s="33">
        <f t="shared" si="12"/>
        <v>9</v>
      </c>
      <c r="AI19" s="43">
        <f t="shared" si="9"/>
        <v>2.5</v>
      </c>
      <c r="AJ19" s="43">
        <v>1</v>
      </c>
      <c r="AM19" s="43">
        <v>0.5</v>
      </c>
      <c r="AN19" s="43">
        <v>1</v>
      </c>
    </row>
    <row r="20" spans="1:40">
      <c r="A20" s="14" t="s">
        <v>119</v>
      </c>
      <c r="B20" s="14" t="s">
        <v>125</v>
      </c>
      <c r="C20" s="14">
        <v>13</v>
      </c>
      <c r="D20" s="15" t="s">
        <v>149</v>
      </c>
      <c r="E20" s="16">
        <v>0.1111111111111111</v>
      </c>
      <c r="F20" s="16">
        <v>0.14421296296296296</v>
      </c>
      <c r="G20" s="16">
        <v>0.19988425925925926</v>
      </c>
      <c r="H20" s="17">
        <f t="shared" si="0"/>
        <v>3.3101851851851855E-2</v>
      </c>
      <c r="I20" s="17">
        <f t="shared" si="1"/>
        <v>1.4293981481481935E-2</v>
      </c>
      <c r="J20" s="18">
        <v>8.3333333333333329E-2</v>
      </c>
      <c r="K20" s="16">
        <v>0.35555555555555557</v>
      </c>
      <c r="L20" s="16">
        <v>0.38931712962962961</v>
      </c>
      <c r="M20" s="16">
        <v>0.48310185185185189</v>
      </c>
      <c r="N20" s="17">
        <f t="shared" si="2"/>
        <v>3.3761574074074041E-2</v>
      </c>
      <c r="O20" s="17">
        <f t="shared" si="3"/>
        <v>1.3055555555555598E-2</v>
      </c>
      <c r="P20" s="18">
        <v>0.14583333333333334</v>
      </c>
      <c r="Q20" s="19">
        <f t="shared" si="4"/>
        <v>4.6999999999999993</v>
      </c>
      <c r="R20" s="19">
        <f t="shared" si="5"/>
        <v>5.6</v>
      </c>
      <c r="S20" s="19">
        <f t="shared" si="10"/>
        <v>3</v>
      </c>
      <c r="T20" s="19">
        <f t="shared" si="11"/>
        <v>5</v>
      </c>
      <c r="U20" s="37">
        <v>7</v>
      </c>
      <c r="V20" s="37">
        <v>5.2</v>
      </c>
      <c r="W20" s="37">
        <v>3</v>
      </c>
      <c r="X20" s="37">
        <v>0</v>
      </c>
      <c r="Y20" s="37">
        <v>0</v>
      </c>
      <c r="Z20" s="37">
        <v>0</v>
      </c>
      <c r="AA20" s="37">
        <v>1</v>
      </c>
      <c r="AB20" s="37">
        <v>4</v>
      </c>
      <c r="AC20" s="37">
        <v>1</v>
      </c>
      <c r="AD20" s="37">
        <v>1.8</v>
      </c>
      <c r="AE20" s="37">
        <f t="shared" si="6"/>
        <v>3</v>
      </c>
      <c r="AF20" s="19">
        <f t="shared" si="7"/>
        <v>44.3</v>
      </c>
      <c r="AG20" s="33">
        <f t="shared" si="12"/>
        <v>10</v>
      </c>
      <c r="AI20" s="43">
        <f t="shared" si="9"/>
        <v>2</v>
      </c>
      <c r="AL20" s="43">
        <v>1</v>
      </c>
      <c r="AM20" s="43">
        <v>1</v>
      </c>
    </row>
    <row r="21" spans="1:40" ht="14.25" thickBot="1">
      <c r="A21" s="52" t="s">
        <v>119</v>
      </c>
      <c r="B21" s="52" t="s">
        <v>133</v>
      </c>
      <c r="C21" s="52">
        <v>23</v>
      </c>
      <c r="D21" s="53" t="s">
        <v>151</v>
      </c>
      <c r="E21" s="54">
        <v>0.115972222222222</v>
      </c>
      <c r="F21" s="54">
        <v>0.15109953703703705</v>
      </c>
      <c r="G21" s="54">
        <v>0.18717592592592591</v>
      </c>
      <c r="H21" s="55">
        <f t="shared" si="0"/>
        <v>3.5127314814815042E-2</v>
      </c>
      <c r="I21" s="55">
        <f>H21-MIN($H$3:$H$21)</f>
        <v>1.6319444444445122E-2</v>
      </c>
      <c r="J21" s="56">
        <v>8.3333333333333329E-2</v>
      </c>
      <c r="K21" s="54">
        <v>0.35625000000000001</v>
      </c>
      <c r="L21" s="54">
        <v>0.39476851851851852</v>
      </c>
      <c r="M21" s="54">
        <v>0.47583333333333333</v>
      </c>
      <c r="N21" s="55">
        <f t="shared" si="2"/>
        <v>3.8518518518518507E-2</v>
      </c>
      <c r="O21" s="55">
        <f t="shared" si="3"/>
        <v>1.7812500000000064E-2</v>
      </c>
      <c r="P21" s="56">
        <v>0.14583333333333334</v>
      </c>
      <c r="Q21" s="57">
        <f t="shared" si="4"/>
        <v>3.1999999999999993</v>
      </c>
      <c r="R21" s="57">
        <f t="shared" si="5"/>
        <v>2.1999999999999993</v>
      </c>
      <c r="S21" s="57">
        <f t="shared" si="10"/>
        <v>5</v>
      </c>
      <c r="T21" s="57">
        <f t="shared" si="11"/>
        <v>5</v>
      </c>
      <c r="U21" s="58">
        <v>3.8</v>
      </c>
      <c r="V21" s="58">
        <v>5.6</v>
      </c>
      <c r="W21" s="58">
        <v>3.1</v>
      </c>
      <c r="X21" s="58">
        <v>0.9</v>
      </c>
      <c r="Y21" s="58">
        <v>1</v>
      </c>
      <c r="Z21" s="58">
        <v>1</v>
      </c>
      <c r="AA21" s="58">
        <v>1.8</v>
      </c>
      <c r="AB21" s="58">
        <v>3</v>
      </c>
      <c r="AC21" s="58">
        <v>0</v>
      </c>
      <c r="AD21" s="58">
        <v>2.4</v>
      </c>
      <c r="AE21" s="58">
        <f t="shared" si="6"/>
        <v>2.5</v>
      </c>
      <c r="AF21" s="57">
        <f t="shared" si="7"/>
        <v>40.499999999999993</v>
      </c>
      <c r="AG21" s="59">
        <f t="shared" si="12"/>
        <v>11</v>
      </c>
      <c r="AH21" s="60"/>
      <c r="AI21" s="61">
        <f t="shared" si="9"/>
        <v>2.5</v>
      </c>
      <c r="AJ21" s="61">
        <v>1</v>
      </c>
      <c r="AK21" s="61"/>
      <c r="AL21" s="61">
        <v>0.5</v>
      </c>
      <c r="AM21" s="61">
        <v>1</v>
      </c>
      <c r="AN21" s="61"/>
    </row>
    <row r="22" spans="1:40" ht="14.25" thickTop="1">
      <c r="A22" s="44" t="s">
        <v>120</v>
      </c>
      <c r="B22" s="44" t="s">
        <v>140</v>
      </c>
      <c r="C22" s="44">
        <v>43</v>
      </c>
      <c r="D22" s="45" t="s">
        <v>52</v>
      </c>
      <c r="E22" s="46">
        <v>0.11874999999999999</v>
      </c>
      <c r="F22" s="46">
        <v>0.1459375</v>
      </c>
      <c r="G22" s="46">
        <v>0.1820023148148148</v>
      </c>
      <c r="H22" s="47">
        <f t="shared" si="0"/>
        <v>2.7187500000000003E-2</v>
      </c>
      <c r="I22" s="47">
        <f t="shared" ref="I22:I27" si="13">H22-MIN($H$22:$H$27)</f>
        <v>0</v>
      </c>
      <c r="J22" s="48">
        <v>9.0277777777777776E-2</v>
      </c>
      <c r="K22" s="46">
        <v>0.35694444444444445</v>
      </c>
      <c r="L22" s="46">
        <v>0.38783564814814814</v>
      </c>
      <c r="M22" s="46">
        <v>0.48159722222222223</v>
      </c>
      <c r="N22" s="47">
        <f t="shared" si="2"/>
        <v>3.0891203703703685E-2</v>
      </c>
      <c r="O22" s="47">
        <f t="shared" ref="O22:O27" si="14">N22-MIN(N$22:N$27)</f>
        <v>0</v>
      </c>
      <c r="P22" s="48">
        <v>0.15972222222222224</v>
      </c>
      <c r="Q22" s="49">
        <f t="shared" si="4"/>
        <v>15</v>
      </c>
      <c r="R22" s="49">
        <f t="shared" si="5"/>
        <v>15</v>
      </c>
      <c r="S22" s="49">
        <f t="shared" si="10"/>
        <v>5</v>
      </c>
      <c r="T22" s="49">
        <f t="shared" si="11"/>
        <v>5</v>
      </c>
      <c r="U22" s="50">
        <v>10</v>
      </c>
      <c r="V22" s="50">
        <v>7.2</v>
      </c>
      <c r="W22" s="50">
        <v>4</v>
      </c>
      <c r="X22" s="50">
        <v>7</v>
      </c>
      <c r="Y22" s="50">
        <v>7</v>
      </c>
      <c r="Z22" s="50">
        <v>3.5</v>
      </c>
      <c r="AA22" s="50">
        <v>2</v>
      </c>
      <c r="AB22" s="50">
        <v>6</v>
      </c>
      <c r="AC22" s="50">
        <v>3.5</v>
      </c>
      <c r="AD22" s="50">
        <v>3</v>
      </c>
      <c r="AE22" s="50">
        <f t="shared" si="6"/>
        <v>5</v>
      </c>
      <c r="AF22" s="49">
        <f t="shared" si="7"/>
        <v>98.2</v>
      </c>
      <c r="AG22" s="51">
        <f>RANK(AF22,$AF$22:$AF$26)</f>
        <v>1</v>
      </c>
      <c r="AI22" s="43">
        <f t="shared" si="9"/>
        <v>0</v>
      </c>
    </row>
    <row r="23" spans="1:40">
      <c r="A23" s="14" t="s">
        <v>120</v>
      </c>
      <c r="B23" s="14" t="s">
        <v>122</v>
      </c>
      <c r="C23" s="14">
        <v>42</v>
      </c>
      <c r="D23" s="15" t="s">
        <v>57</v>
      </c>
      <c r="E23" s="16">
        <v>0.11805555555555557</v>
      </c>
      <c r="F23" s="16">
        <v>0.14700231481481482</v>
      </c>
      <c r="G23" s="16">
        <v>0.1910300925925926</v>
      </c>
      <c r="H23" s="17">
        <f t="shared" si="0"/>
        <v>2.8946759259259255E-2</v>
      </c>
      <c r="I23" s="17">
        <f>H23-MIN($H$22:$H$27)</f>
        <v>1.7592592592592521E-3</v>
      </c>
      <c r="J23" s="18">
        <v>9.0277777777777776E-2</v>
      </c>
      <c r="K23" s="16">
        <v>0.3576388888888889</v>
      </c>
      <c r="L23" s="16">
        <v>0.38925925925925925</v>
      </c>
      <c r="M23" s="16">
        <v>0.48668981481481483</v>
      </c>
      <c r="N23" s="17">
        <f t="shared" si="2"/>
        <v>3.1620370370370354E-2</v>
      </c>
      <c r="O23" s="17">
        <f t="shared" si="14"/>
        <v>7.2916666666666963E-4</v>
      </c>
      <c r="P23" s="18">
        <v>0.15972222222222224</v>
      </c>
      <c r="Q23" s="19">
        <f t="shared" si="4"/>
        <v>13.7</v>
      </c>
      <c r="R23" s="19">
        <f t="shared" si="5"/>
        <v>14.5</v>
      </c>
      <c r="S23" s="19">
        <f t="shared" si="10"/>
        <v>5</v>
      </c>
      <c r="T23" s="19">
        <f t="shared" si="11"/>
        <v>5</v>
      </c>
      <c r="U23" s="37">
        <v>10</v>
      </c>
      <c r="V23" s="37">
        <v>8</v>
      </c>
      <c r="W23" s="37">
        <v>3.5</v>
      </c>
      <c r="X23" s="37">
        <v>4.5</v>
      </c>
      <c r="Y23" s="37">
        <v>2</v>
      </c>
      <c r="Z23" s="37">
        <v>3</v>
      </c>
      <c r="AA23" s="37">
        <v>1</v>
      </c>
      <c r="AB23" s="37">
        <v>6</v>
      </c>
      <c r="AC23" s="37">
        <v>3</v>
      </c>
      <c r="AD23" s="37">
        <v>3</v>
      </c>
      <c r="AE23" s="37">
        <f t="shared" si="6"/>
        <v>4.5</v>
      </c>
      <c r="AF23" s="19">
        <f t="shared" si="7"/>
        <v>86.7</v>
      </c>
      <c r="AG23" s="33">
        <f>RANK(AF23,$AF$22:$AF$26)</f>
        <v>2</v>
      </c>
      <c r="AI23" s="43">
        <f t="shared" si="9"/>
        <v>0.5</v>
      </c>
      <c r="AM23" s="43">
        <v>0.5</v>
      </c>
    </row>
    <row r="24" spans="1:40">
      <c r="A24" s="14" t="s">
        <v>120</v>
      </c>
      <c r="B24" s="14" t="s">
        <v>139</v>
      </c>
      <c r="C24" s="14">
        <v>41</v>
      </c>
      <c r="D24" s="15" t="s">
        <v>51</v>
      </c>
      <c r="E24" s="16">
        <v>0.1173611111111111</v>
      </c>
      <c r="F24" s="16">
        <v>0.15437500000000001</v>
      </c>
      <c r="G24" s="16">
        <v>0.20098379629629629</v>
      </c>
      <c r="H24" s="17">
        <f t="shared" si="0"/>
        <v>3.7013888888888916E-2</v>
      </c>
      <c r="I24" s="17">
        <f>H24-MIN($H$22:$H$27)</f>
        <v>9.8263888888889123E-3</v>
      </c>
      <c r="J24" s="18">
        <v>9.0277777777777776E-2</v>
      </c>
      <c r="K24" s="16">
        <v>0.35833333333333334</v>
      </c>
      <c r="L24" s="16">
        <v>0.39224537037037038</v>
      </c>
      <c r="M24" s="16">
        <v>0.49606481481481479</v>
      </c>
      <c r="N24" s="17">
        <f t="shared" si="2"/>
        <v>3.3912037037037046E-2</v>
      </c>
      <c r="O24" s="17">
        <f t="shared" si="14"/>
        <v>3.0208333333333615E-3</v>
      </c>
      <c r="P24" s="18">
        <v>0.15972222222222224</v>
      </c>
      <c r="Q24" s="19">
        <f t="shared" si="4"/>
        <v>7.9</v>
      </c>
      <c r="R24" s="19">
        <f t="shared" si="5"/>
        <v>12.8</v>
      </c>
      <c r="S24" s="19">
        <f t="shared" si="10"/>
        <v>5</v>
      </c>
      <c r="T24" s="19">
        <f t="shared" si="11"/>
        <v>5</v>
      </c>
      <c r="U24" s="37">
        <v>10</v>
      </c>
      <c r="V24" s="37">
        <v>8</v>
      </c>
      <c r="W24" s="37">
        <v>4</v>
      </c>
      <c r="X24" s="37">
        <v>3.3</v>
      </c>
      <c r="Y24" s="37">
        <v>6</v>
      </c>
      <c r="Z24" s="37">
        <v>3.5</v>
      </c>
      <c r="AA24" s="37">
        <v>1.8</v>
      </c>
      <c r="AB24" s="37">
        <v>6</v>
      </c>
      <c r="AC24" s="37">
        <v>3.5</v>
      </c>
      <c r="AD24" s="37">
        <v>3</v>
      </c>
      <c r="AE24" s="37">
        <f t="shared" si="6"/>
        <v>5</v>
      </c>
      <c r="AF24" s="19">
        <f t="shared" si="7"/>
        <v>84.8</v>
      </c>
      <c r="AG24" s="33">
        <f>RANK(AF24,$AF$22:$AF$26)</f>
        <v>3</v>
      </c>
      <c r="AI24" s="43">
        <f t="shared" si="9"/>
        <v>0</v>
      </c>
    </row>
    <row r="25" spans="1:40">
      <c r="A25" s="14" t="s">
        <v>120</v>
      </c>
      <c r="B25" s="14" t="s">
        <v>127</v>
      </c>
      <c r="C25" s="14">
        <v>45</v>
      </c>
      <c r="D25" s="15" t="s">
        <v>26</v>
      </c>
      <c r="E25" s="16">
        <v>0.120138888888889</v>
      </c>
      <c r="F25" s="16">
        <v>0.16143518518518518</v>
      </c>
      <c r="G25" s="16">
        <v>0.19560185185185186</v>
      </c>
      <c r="H25" s="17">
        <f t="shared" si="0"/>
        <v>4.1296296296296178E-2</v>
      </c>
      <c r="I25" s="17">
        <f t="shared" si="13"/>
        <v>1.4108796296296175E-2</v>
      </c>
      <c r="J25" s="18">
        <v>9.0277777777777776E-2</v>
      </c>
      <c r="K25" s="16">
        <v>0.35902777777777778</v>
      </c>
      <c r="L25" s="16">
        <v>0.39971064814814811</v>
      </c>
      <c r="M25" s="16">
        <v>0.49660879629629634</v>
      </c>
      <c r="N25" s="17">
        <f t="shared" si="2"/>
        <v>4.0682870370370328E-2</v>
      </c>
      <c r="O25" s="17">
        <f t="shared" si="14"/>
        <v>9.791666666666643E-3</v>
      </c>
      <c r="P25" s="18">
        <v>0.15972222222222224</v>
      </c>
      <c r="Q25" s="19">
        <f t="shared" si="4"/>
        <v>4.8000000000000007</v>
      </c>
      <c r="R25" s="19">
        <f t="shared" si="5"/>
        <v>8</v>
      </c>
      <c r="S25" s="19">
        <f t="shared" si="10"/>
        <v>5</v>
      </c>
      <c r="T25" s="19">
        <f t="shared" si="11"/>
        <v>5</v>
      </c>
      <c r="U25" s="37">
        <v>3.5</v>
      </c>
      <c r="V25" s="37">
        <v>4.3</v>
      </c>
      <c r="W25" s="37">
        <v>4</v>
      </c>
      <c r="X25" s="37">
        <v>0.8</v>
      </c>
      <c r="Y25" s="37">
        <v>0</v>
      </c>
      <c r="Z25" s="37">
        <v>1.7</v>
      </c>
      <c r="AA25" s="37">
        <v>1.2</v>
      </c>
      <c r="AB25" s="37">
        <v>3.2</v>
      </c>
      <c r="AC25" s="37">
        <v>0.5</v>
      </c>
      <c r="AD25" s="37">
        <v>2.1</v>
      </c>
      <c r="AE25" s="37">
        <f t="shared" si="6"/>
        <v>3.5</v>
      </c>
      <c r="AF25" s="19">
        <f t="shared" si="7"/>
        <v>47.600000000000009</v>
      </c>
      <c r="AG25" s="33">
        <f>RANK(AF25,$AF$22:$AF$26)</f>
        <v>4</v>
      </c>
      <c r="AI25" s="43">
        <f t="shared" si="9"/>
        <v>1.5</v>
      </c>
      <c r="AL25" s="43">
        <v>1</v>
      </c>
      <c r="AM25" s="43">
        <v>0.5</v>
      </c>
    </row>
    <row r="26" spans="1:40" ht="14.25" thickBot="1">
      <c r="A26" s="52" t="s">
        <v>120</v>
      </c>
      <c r="B26" s="52" t="s">
        <v>130</v>
      </c>
      <c r="C26" s="52">
        <v>44</v>
      </c>
      <c r="D26" s="53" t="s">
        <v>152</v>
      </c>
      <c r="E26" s="54">
        <v>0.11944444444444501</v>
      </c>
      <c r="F26" s="54">
        <v>0.16712962962962963</v>
      </c>
      <c r="G26" s="54">
        <v>0.20476851851851852</v>
      </c>
      <c r="H26" s="55">
        <f t="shared" si="0"/>
        <v>4.7685185185184623E-2</v>
      </c>
      <c r="I26" s="55">
        <f t="shared" si="13"/>
        <v>2.0497685185184619E-2</v>
      </c>
      <c r="J26" s="56">
        <v>9.0277777777777776E-2</v>
      </c>
      <c r="K26" s="54">
        <v>0.35972222222222222</v>
      </c>
      <c r="L26" s="54">
        <v>0.40069444444444446</v>
      </c>
      <c r="M26" s="54">
        <v>0.48659722222222218</v>
      </c>
      <c r="N26" s="55">
        <f t="shared" si="2"/>
        <v>4.0972222222222243E-2</v>
      </c>
      <c r="O26" s="55">
        <f t="shared" si="14"/>
        <v>1.0081018518518559E-2</v>
      </c>
      <c r="P26" s="56">
        <v>0.15972222222222224</v>
      </c>
      <c r="Q26" s="57">
        <f t="shared" si="4"/>
        <v>0.19999999999999929</v>
      </c>
      <c r="R26" s="57">
        <f t="shared" si="5"/>
        <v>7.7</v>
      </c>
      <c r="S26" s="57">
        <f t="shared" si="10"/>
        <v>5</v>
      </c>
      <c r="T26" s="57">
        <f t="shared" si="11"/>
        <v>5</v>
      </c>
      <c r="U26" s="58">
        <v>3.2</v>
      </c>
      <c r="V26" s="58">
        <v>4.8</v>
      </c>
      <c r="W26" s="58">
        <v>3.6</v>
      </c>
      <c r="X26" s="58">
        <v>0.3</v>
      </c>
      <c r="Y26" s="58">
        <v>0</v>
      </c>
      <c r="Z26" s="58">
        <v>1.9</v>
      </c>
      <c r="AA26" s="58">
        <v>1.2</v>
      </c>
      <c r="AB26" s="58">
        <v>3</v>
      </c>
      <c r="AC26" s="58">
        <v>1</v>
      </c>
      <c r="AD26" s="58">
        <v>1.8</v>
      </c>
      <c r="AE26" s="58">
        <f t="shared" si="6"/>
        <v>4</v>
      </c>
      <c r="AF26" s="57">
        <f t="shared" si="7"/>
        <v>42.699999999999996</v>
      </c>
      <c r="AG26" s="59">
        <f>RANK(AF26,$AF$22:$AF$26)</f>
        <v>5</v>
      </c>
      <c r="AH26" s="60"/>
      <c r="AI26" s="61">
        <f t="shared" si="9"/>
        <v>1</v>
      </c>
      <c r="AJ26" s="61">
        <v>1</v>
      </c>
      <c r="AK26" s="61"/>
      <c r="AL26" s="61"/>
      <c r="AM26" s="61"/>
      <c r="AN26" s="61"/>
    </row>
    <row r="27" spans="1:40" ht="14.25" thickTop="1">
      <c r="A27" s="44" t="s">
        <v>121</v>
      </c>
      <c r="B27" s="44" t="s">
        <v>139</v>
      </c>
      <c r="C27" s="44">
        <v>50</v>
      </c>
      <c r="D27" s="45" t="s">
        <v>56</v>
      </c>
      <c r="E27" s="46">
        <v>0.12083333333333333</v>
      </c>
      <c r="F27" s="46">
        <v>0.15284722222222222</v>
      </c>
      <c r="G27" s="46">
        <v>0.20736111111111111</v>
      </c>
      <c r="H27" s="47">
        <f t="shared" si="0"/>
        <v>3.2013888888888883E-2</v>
      </c>
      <c r="I27" s="47">
        <f t="shared" si="13"/>
        <v>4.8263888888888801E-3</v>
      </c>
      <c r="J27" s="48">
        <v>9.0277777777777776E-2</v>
      </c>
      <c r="K27" s="46">
        <v>0.36041666666666666</v>
      </c>
      <c r="L27" s="46">
        <v>0.39636574074074077</v>
      </c>
      <c r="M27" s="46">
        <v>0.49896990740740743</v>
      </c>
      <c r="N27" s="47">
        <f t="shared" si="2"/>
        <v>3.5949074074074105E-2</v>
      </c>
      <c r="O27" s="47">
        <f t="shared" si="14"/>
        <v>5.0578703703704209E-3</v>
      </c>
      <c r="P27" s="48">
        <v>0.15972222222222224</v>
      </c>
      <c r="Q27" s="49">
        <f t="shared" si="4"/>
        <v>11.5</v>
      </c>
      <c r="R27" s="49">
        <f t="shared" si="5"/>
        <v>11.4</v>
      </c>
      <c r="S27" s="49">
        <f t="shared" si="10"/>
        <v>5</v>
      </c>
      <c r="T27" s="49">
        <f t="shared" si="11"/>
        <v>5</v>
      </c>
      <c r="U27" s="50">
        <v>8</v>
      </c>
      <c r="V27" s="50">
        <v>5.8</v>
      </c>
      <c r="W27" s="50">
        <v>4</v>
      </c>
      <c r="X27" s="50">
        <v>3.6</v>
      </c>
      <c r="Y27" s="50">
        <v>5</v>
      </c>
      <c r="Z27" s="50">
        <v>3.5</v>
      </c>
      <c r="AA27" s="50">
        <v>2</v>
      </c>
      <c r="AB27" s="50">
        <v>5.6</v>
      </c>
      <c r="AC27" s="50">
        <v>3</v>
      </c>
      <c r="AD27" s="50">
        <v>3</v>
      </c>
      <c r="AE27" s="50">
        <f t="shared" si="6"/>
        <v>5</v>
      </c>
      <c r="AF27" s="49">
        <f t="shared" si="7"/>
        <v>81.399999999999991</v>
      </c>
      <c r="AG27" s="51">
        <f>RANK(AF27,$AF$27:$AF$27)</f>
        <v>1</v>
      </c>
      <c r="AI27" s="43">
        <f t="shared" si="9"/>
        <v>0</v>
      </c>
    </row>
  </sheetData>
  <phoneticPr fontId="3"/>
  <pageMargins left="0.78700000000000003" right="0.78700000000000003" top="0.98399999999999999" bottom="0.98399999999999999" header="0.51200000000000001" footer="0.51200000000000001"/>
  <pageSetup paperSize="9" scale="54" orientation="landscape" r:id="rId1"/>
  <headerFooter alignWithMargins="0">
    <oddHeader>&amp;R&amp;D &amp;T</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AO25"/>
  <sheetViews>
    <sheetView workbookViewId="0">
      <pane xSplit="2" ySplit="1" topLeftCell="C2" activePane="bottomRight" state="frozen"/>
      <selection pane="topRight" activeCell="C1" sqref="C1"/>
      <selection pane="bottomLeft" activeCell="A2" sqref="A2"/>
      <selection pane="bottomRight" activeCell="AM21" sqref="AM21"/>
    </sheetView>
  </sheetViews>
  <sheetFormatPr defaultRowHeight="13.5"/>
  <cols>
    <col min="1" max="1" width="3.75" style="22" bestFit="1" customWidth="1"/>
    <col min="2" max="2" width="11.375" style="22" bestFit="1" customWidth="1"/>
    <col min="3" max="3" width="4.75" style="22" customWidth="1"/>
    <col min="4" max="4" width="11.25" style="23" customWidth="1"/>
    <col min="5" max="7" width="8.25" style="24" customWidth="1"/>
    <col min="8" max="8" width="7.5" style="25" customWidth="1"/>
    <col min="9" max="9" width="7" style="25" customWidth="1"/>
    <col min="10" max="10" width="7.5" style="27" customWidth="1"/>
    <col min="11" max="12" width="7.25" style="24" customWidth="1"/>
    <col min="13" max="13" width="8.125" style="24" customWidth="1"/>
    <col min="14" max="15" width="6.875" style="25" customWidth="1"/>
    <col min="16" max="16" width="7.75" style="27" customWidth="1"/>
    <col min="17" max="20" width="7.125" style="31" customWidth="1"/>
    <col min="21" max="31" width="7.125" style="39" customWidth="1"/>
    <col min="32" max="32" width="6.75" style="31" customWidth="1"/>
    <col min="33" max="33" width="6.75" style="76" customWidth="1"/>
    <col min="35" max="35" width="9" style="78"/>
    <col min="37" max="41" width="9" style="43"/>
  </cols>
  <sheetData>
    <row r="1" spans="1:41" s="6" customFormat="1">
      <c r="A1" s="1" t="s">
        <v>87</v>
      </c>
      <c r="B1" s="1" t="s">
        <v>88</v>
      </c>
      <c r="C1" s="1" t="s">
        <v>157</v>
      </c>
      <c r="D1" s="1" t="s">
        <v>90</v>
      </c>
      <c r="E1" s="2" t="s">
        <v>158</v>
      </c>
      <c r="F1" s="2" t="s">
        <v>159</v>
      </c>
      <c r="G1" s="2" t="s">
        <v>160</v>
      </c>
      <c r="H1" s="3" t="s">
        <v>91</v>
      </c>
      <c r="I1" s="3" t="s">
        <v>92</v>
      </c>
      <c r="J1" s="3" t="s">
        <v>112</v>
      </c>
      <c r="K1" s="2" t="s">
        <v>109</v>
      </c>
      <c r="L1" s="2" t="s">
        <v>110</v>
      </c>
      <c r="M1" s="2" t="s">
        <v>111</v>
      </c>
      <c r="N1" s="3" t="s">
        <v>93</v>
      </c>
      <c r="O1" s="3" t="s">
        <v>94</v>
      </c>
      <c r="P1" s="3" t="s">
        <v>113</v>
      </c>
      <c r="Q1" s="5" t="s">
        <v>95</v>
      </c>
      <c r="R1" s="5" t="s">
        <v>96</v>
      </c>
      <c r="S1" s="5" t="s">
        <v>0</v>
      </c>
      <c r="T1" s="5" t="s">
        <v>1</v>
      </c>
      <c r="U1" s="34" t="s">
        <v>97</v>
      </c>
      <c r="V1" s="35" t="s">
        <v>2</v>
      </c>
      <c r="W1" s="35" t="s">
        <v>3</v>
      </c>
      <c r="X1" s="35" t="s">
        <v>4</v>
      </c>
      <c r="Y1" s="35" t="s">
        <v>5</v>
      </c>
      <c r="Z1" s="34" t="s">
        <v>6</v>
      </c>
      <c r="AA1" s="35" t="s">
        <v>7</v>
      </c>
      <c r="AB1" s="35" t="s">
        <v>8</v>
      </c>
      <c r="AC1" s="35" t="s">
        <v>9</v>
      </c>
      <c r="AD1" s="35" t="s">
        <v>10</v>
      </c>
      <c r="AE1" s="35" t="s">
        <v>11</v>
      </c>
      <c r="AF1" s="5" t="s">
        <v>12</v>
      </c>
      <c r="AG1" s="4" t="s">
        <v>98</v>
      </c>
      <c r="AH1" s="6" t="s">
        <v>105</v>
      </c>
      <c r="AI1" s="77" t="s">
        <v>190</v>
      </c>
      <c r="AJ1" s="6" t="s">
        <v>156</v>
      </c>
      <c r="AK1" s="40" t="s">
        <v>142</v>
      </c>
      <c r="AL1" s="40" t="s">
        <v>141</v>
      </c>
      <c r="AM1" s="40" t="s">
        <v>153</v>
      </c>
      <c r="AN1" s="40" t="s">
        <v>154</v>
      </c>
      <c r="AO1" s="40" t="s">
        <v>161</v>
      </c>
    </row>
    <row r="2" spans="1:41" s="13" customFormat="1">
      <c r="A2" s="7"/>
      <c r="B2" s="7" t="s">
        <v>563</v>
      </c>
      <c r="C2" s="7"/>
      <c r="D2" s="8"/>
      <c r="E2" s="9"/>
      <c r="F2" s="9"/>
      <c r="G2" s="9"/>
      <c r="H2" s="10"/>
      <c r="I2" s="10"/>
      <c r="J2" s="11"/>
      <c r="K2" s="9"/>
      <c r="L2" s="9"/>
      <c r="M2" s="9"/>
      <c r="N2" s="10"/>
      <c r="O2" s="10"/>
      <c r="P2" s="11"/>
      <c r="Q2" s="12">
        <v>10</v>
      </c>
      <c r="R2" s="12">
        <v>20</v>
      </c>
      <c r="S2" s="12">
        <v>3</v>
      </c>
      <c r="T2" s="12">
        <v>7</v>
      </c>
      <c r="U2" s="36">
        <v>10</v>
      </c>
      <c r="V2" s="36">
        <v>8</v>
      </c>
      <c r="W2" s="36">
        <v>4</v>
      </c>
      <c r="X2" s="36">
        <v>7</v>
      </c>
      <c r="Y2" s="36">
        <v>7</v>
      </c>
      <c r="Z2" s="36">
        <v>4</v>
      </c>
      <c r="AA2" s="36">
        <v>2</v>
      </c>
      <c r="AB2" s="36">
        <v>6</v>
      </c>
      <c r="AC2" s="36">
        <v>4</v>
      </c>
      <c r="AD2" s="36">
        <v>3</v>
      </c>
      <c r="AE2" s="36">
        <v>5</v>
      </c>
      <c r="AF2" s="12">
        <f>SUM(Q2:AE2)</f>
        <v>100</v>
      </c>
      <c r="AG2" s="71"/>
      <c r="AI2" s="82"/>
      <c r="AK2" s="42"/>
      <c r="AL2" s="41"/>
      <c r="AM2" s="41"/>
      <c r="AN2" s="41"/>
      <c r="AO2" s="41"/>
    </row>
    <row r="3" spans="1:41">
      <c r="A3" s="14" t="s">
        <v>162</v>
      </c>
      <c r="B3" s="14" t="s">
        <v>126</v>
      </c>
      <c r="C3" s="14">
        <v>4</v>
      </c>
      <c r="D3" s="15" t="s">
        <v>20</v>
      </c>
      <c r="E3" s="16">
        <v>0.54722222222222205</v>
      </c>
      <c r="F3" s="16">
        <v>0.55626157407407406</v>
      </c>
      <c r="G3" s="16">
        <v>0.59600694444444446</v>
      </c>
      <c r="H3" s="17">
        <f t="shared" ref="H3:H20" si="0">F3-E3</f>
        <v>9.0393518518520066E-3</v>
      </c>
      <c r="I3" s="17">
        <f t="shared" ref="I3:I16" si="1">H3-MIN($H$3:$H$16)</f>
        <v>0</v>
      </c>
      <c r="J3" s="18">
        <v>6.25E-2</v>
      </c>
      <c r="K3" s="16">
        <v>0.2722222222222222</v>
      </c>
      <c r="L3" s="16">
        <v>0.28837962962962965</v>
      </c>
      <c r="M3" s="16">
        <v>0.45721064814814816</v>
      </c>
      <c r="N3" s="17">
        <f t="shared" ref="N3:N20" si="2">L3-K3</f>
        <v>1.6157407407407454E-2</v>
      </c>
      <c r="O3" s="17">
        <f>N3-MIN($N$3:$N$16)</f>
        <v>2.8935185185186008E-4</v>
      </c>
      <c r="P3" s="18">
        <v>0.21527777777777779</v>
      </c>
      <c r="Q3" s="19">
        <f>MAX(Q$2-ROUND(I3*60*24*0.5,1),0)</f>
        <v>10</v>
      </c>
      <c r="R3" s="19">
        <f t="shared" ref="R3:R21" si="3">MAX(R$2-ROUND(O3*60*24*0.5,1),0)</f>
        <v>19.8</v>
      </c>
      <c r="S3" s="19">
        <f t="shared" ref="S3:S21" si="4">MAX(MIN($S$2+ROUND((J3-(G3-E3))*60*24*0.25,1),$S$2),0)</f>
        <v>3</v>
      </c>
      <c r="T3" s="19">
        <f t="shared" ref="T3:T20" si="5">MAX(MIN($T$2+ROUND((P3-(M3-K3))*60*24*0.25,1),$T$2),0)</f>
        <v>7</v>
      </c>
      <c r="U3" s="37">
        <v>9.8000000000000007</v>
      </c>
      <c r="V3" s="37">
        <v>8</v>
      </c>
      <c r="W3" s="37">
        <v>4</v>
      </c>
      <c r="X3" s="37">
        <v>6.6</v>
      </c>
      <c r="Y3" s="37">
        <v>6</v>
      </c>
      <c r="Z3" s="37">
        <v>3.5</v>
      </c>
      <c r="AA3" s="37">
        <v>2</v>
      </c>
      <c r="AB3" s="37">
        <v>6</v>
      </c>
      <c r="AC3" s="37">
        <v>3.5</v>
      </c>
      <c r="AD3" s="37">
        <v>3</v>
      </c>
      <c r="AE3" s="37">
        <v>5</v>
      </c>
      <c r="AF3" s="19">
        <f t="shared" ref="AF3:AF20" si="6">SUM(Q3:AE3)</f>
        <v>97.199999999999989</v>
      </c>
      <c r="AG3" s="72">
        <f t="shared" ref="AG3:AG9" si="7">RANK(AF3,$AF$3:$AF$9)</f>
        <v>1</v>
      </c>
      <c r="AI3" s="78">
        <f t="shared" ref="AI3:AI9" si="8">RANK(H3,$H$3:$H$9,1)</f>
        <v>1</v>
      </c>
      <c r="AJ3" s="43">
        <f t="shared" ref="AJ3:AJ21" si="9">SUM(AK3:AO3)</f>
        <v>0</v>
      </c>
    </row>
    <row r="4" spans="1:41">
      <c r="A4" s="14" t="s">
        <v>178</v>
      </c>
      <c r="B4" s="14" t="s">
        <v>123</v>
      </c>
      <c r="C4" s="14">
        <v>3</v>
      </c>
      <c r="D4" s="15" t="s">
        <v>143</v>
      </c>
      <c r="E4" s="16">
        <v>0.54652777777777795</v>
      </c>
      <c r="F4" s="16">
        <v>0.55578703703703702</v>
      </c>
      <c r="G4" s="16">
        <v>0.59733796296296293</v>
      </c>
      <c r="H4" s="17">
        <f>F4-E4</f>
        <v>9.2592592592590783E-3</v>
      </c>
      <c r="I4" s="17">
        <f t="shared" si="1"/>
        <v>2.1990740740707171E-4</v>
      </c>
      <c r="J4" s="18">
        <v>6.25E-2</v>
      </c>
      <c r="K4" s="16">
        <v>0.27291666666666664</v>
      </c>
      <c r="L4" s="16">
        <v>0.28878472222222223</v>
      </c>
      <c r="M4" s="16">
        <v>0.47280092592592587</v>
      </c>
      <c r="N4" s="17">
        <f>L4-K4</f>
        <v>1.5868055555555594E-2</v>
      </c>
      <c r="O4" s="17">
        <f>N4-MIN($N$3:$N$16)</f>
        <v>0</v>
      </c>
      <c r="P4" s="18">
        <v>0.21527777777777779</v>
      </c>
      <c r="Q4" s="19">
        <f>MAX(Q$2-ROUND(I4*60*24*0.5,1),0)</f>
        <v>9.8000000000000007</v>
      </c>
      <c r="R4" s="19">
        <f t="shared" si="3"/>
        <v>20</v>
      </c>
      <c r="S4" s="19">
        <f t="shared" si="4"/>
        <v>3</v>
      </c>
      <c r="T4" s="19">
        <f t="shared" si="5"/>
        <v>7</v>
      </c>
      <c r="U4" s="37">
        <v>10</v>
      </c>
      <c r="V4" s="37">
        <v>8</v>
      </c>
      <c r="W4" s="37">
        <v>4</v>
      </c>
      <c r="X4" s="37">
        <v>4.7</v>
      </c>
      <c r="Y4" s="37">
        <v>5</v>
      </c>
      <c r="Z4" s="37">
        <v>4</v>
      </c>
      <c r="AA4" s="37">
        <v>2</v>
      </c>
      <c r="AB4" s="37">
        <v>6</v>
      </c>
      <c r="AC4" s="37">
        <v>3.5</v>
      </c>
      <c r="AD4" s="37">
        <v>3</v>
      </c>
      <c r="AE4" s="37">
        <v>5</v>
      </c>
      <c r="AF4" s="19">
        <f>SUM(Q4:AE4)</f>
        <v>95</v>
      </c>
      <c r="AG4" s="72">
        <f t="shared" si="7"/>
        <v>2</v>
      </c>
      <c r="AI4" s="78">
        <f t="shared" si="8"/>
        <v>2</v>
      </c>
      <c r="AJ4" s="43">
        <f t="shared" si="9"/>
        <v>0</v>
      </c>
    </row>
    <row r="5" spans="1:41">
      <c r="A5" s="14" t="s">
        <v>163</v>
      </c>
      <c r="B5" s="14" t="s">
        <v>122</v>
      </c>
      <c r="C5" s="14">
        <v>2</v>
      </c>
      <c r="D5" s="15" t="s">
        <v>16</v>
      </c>
      <c r="E5" s="16">
        <v>0.54583333333333328</v>
      </c>
      <c r="F5" s="16">
        <v>0.55557870370370377</v>
      </c>
      <c r="G5" s="16">
        <v>0.59783564814814816</v>
      </c>
      <c r="H5" s="17">
        <f>F5-E5</f>
        <v>9.7453703703704875E-3</v>
      </c>
      <c r="I5" s="17">
        <f t="shared" si="1"/>
        <v>7.0601851851848085E-4</v>
      </c>
      <c r="J5" s="18">
        <v>6.25E-2</v>
      </c>
      <c r="K5" s="16">
        <v>0.27361111111111103</v>
      </c>
      <c r="L5" s="16">
        <v>0.2913425925925926</v>
      </c>
      <c r="M5" s="16">
        <v>0.4609375</v>
      </c>
      <c r="N5" s="17">
        <f>L5-K5</f>
        <v>1.773148148148157E-2</v>
      </c>
      <c r="O5" s="17">
        <f t="shared" ref="O5:O16" si="10">N5-MIN($N$3:$N$16)</f>
        <v>1.8634259259259767E-3</v>
      </c>
      <c r="P5" s="18">
        <v>0.21527777777777779</v>
      </c>
      <c r="Q5" s="19">
        <f>MAX(Q$2-ROUND(I5*60*24*0.5,1),0)</f>
        <v>9.5</v>
      </c>
      <c r="R5" s="19">
        <f t="shared" si="3"/>
        <v>18.7</v>
      </c>
      <c r="S5" s="19">
        <f t="shared" si="4"/>
        <v>3</v>
      </c>
      <c r="T5" s="19">
        <f t="shared" si="5"/>
        <v>7</v>
      </c>
      <c r="U5" s="37">
        <v>8.8000000000000007</v>
      </c>
      <c r="V5" s="37">
        <v>7.1</v>
      </c>
      <c r="W5" s="37">
        <v>4</v>
      </c>
      <c r="X5" s="37">
        <v>4</v>
      </c>
      <c r="Y5" s="37">
        <v>3</v>
      </c>
      <c r="Z5" s="37">
        <v>3.5</v>
      </c>
      <c r="AA5" s="37">
        <v>1.8</v>
      </c>
      <c r="AB5" s="37">
        <v>5.8</v>
      </c>
      <c r="AC5" s="37">
        <v>3</v>
      </c>
      <c r="AD5" s="37">
        <v>3</v>
      </c>
      <c r="AE5" s="37">
        <v>5</v>
      </c>
      <c r="AF5" s="19">
        <f>SUM(Q5:AE5)</f>
        <v>87.199999999999989</v>
      </c>
      <c r="AG5" s="72">
        <f t="shared" si="7"/>
        <v>3</v>
      </c>
      <c r="AI5" s="78">
        <f t="shared" si="8"/>
        <v>3</v>
      </c>
      <c r="AJ5" s="43">
        <f t="shared" si="9"/>
        <v>0</v>
      </c>
    </row>
    <row r="6" spans="1:41">
      <c r="A6" s="14" t="s">
        <v>166</v>
      </c>
      <c r="B6" s="14" t="s">
        <v>125</v>
      </c>
      <c r="C6" s="14">
        <v>6</v>
      </c>
      <c r="D6" s="15" t="s">
        <v>145</v>
      </c>
      <c r="E6" s="16">
        <v>0.54861111111111105</v>
      </c>
      <c r="F6" s="16">
        <v>0.55945601851851856</v>
      </c>
      <c r="G6" s="16">
        <v>0.59939814814814818</v>
      </c>
      <c r="H6" s="17">
        <f>F6-E6</f>
        <v>1.0844907407407511E-2</v>
      </c>
      <c r="I6" s="17">
        <f t="shared" si="1"/>
        <v>1.8055555555555047E-3</v>
      </c>
      <c r="J6" s="18">
        <v>6.25E-2</v>
      </c>
      <c r="K6" s="16">
        <v>0.27430555555555602</v>
      </c>
      <c r="L6" s="16">
        <v>0.29378472222222224</v>
      </c>
      <c r="M6" s="16">
        <v>0.47268518518518521</v>
      </c>
      <c r="N6" s="17">
        <f>L6-K6</f>
        <v>1.9479166666666214E-2</v>
      </c>
      <c r="O6" s="17">
        <f t="shared" si="10"/>
        <v>3.6111111111106209E-3</v>
      </c>
      <c r="P6" s="18">
        <v>0.21527777777777779</v>
      </c>
      <c r="Q6" s="19">
        <f>MAX(Q$2-ROUND(I6*60*24*0.5,1),0)</f>
        <v>8.6999999999999993</v>
      </c>
      <c r="R6" s="19">
        <f t="shared" si="3"/>
        <v>17.399999999999999</v>
      </c>
      <c r="S6" s="19">
        <f t="shared" si="4"/>
        <v>3</v>
      </c>
      <c r="T6" s="19">
        <f t="shared" si="5"/>
        <v>7</v>
      </c>
      <c r="U6" s="37">
        <v>9.8000000000000007</v>
      </c>
      <c r="V6" s="37">
        <v>7.2</v>
      </c>
      <c r="W6" s="37">
        <v>3.1</v>
      </c>
      <c r="X6" s="37">
        <v>5</v>
      </c>
      <c r="Y6" s="37">
        <v>4.5</v>
      </c>
      <c r="Z6" s="37">
        <v>3.5</v>
      </c>
      <c r="AA6" s="37">
        <v>1</v>
      </c>
      <c r="AB6" s="37">
        <v>5</v>
      </c>
      <c r="AC6" s="37">
        <v>2.5</v>
      </c>
      <c r="AD6" s="37">
        <v>3</v>
      </c>
      <c r="AE6" s="37">
        <v>5</v>
      </c>
      <c r="AF6" s="19">
        <f>SUM(Q6:AE6)</f>
        <v>85.699999999999989</v>
      </c>
      <c r="AG6" s="72">
        <f t="shared" si="7"/>
        <v>4</v>
      </c>
      <c r="AI6" s="78">
        <f t="shared" si="8"/>
        <v>4</v>
      </c>
      <c r="AJ6" s="43">
        <f t="shared" si="9"/>
        <v>0</v>
      </c>
    </row>
    <row r="7" spans="1:41">
      <c r="A7" s="14" t="s">
        <v>167</v>
      </c>
      <c r="B7" s="14" t="s">
        <v>127</v>
      </c>
      <c r="C7" s="14">
        <v>1</v>
      </c>
      <c r="D7" s="15" t="s">
        <v>146</v>
      </c>
      <c r="E7" s="16">
        <v>0.54513888888888895</v>
      </c>
      <c r="F7" s="16">
        <v>0.55687500000000001</v>
      </c>
      <c r="G7" s="16">
        <v>0.59793981481481484</v>
      </c>
      <c r="H7" s="17">
        <f>F7-E7</f>
        <v>1.1736111111111058E-2</v>
      </c>
      <c r="I7" s="17">
        <f>H7-MIN($H$3:$H$16)</f>
        <v>2.6967592592590517E-3</v>
      </c>
      <c r="J7" s="18">
        <v>6.25E-2</v>
      </c>
      <c r="K7" s="16">
        <v>0.27500000000000002</v>
      </c>
      <c r="L7" s="16">
        <v>0.29638888888888887</v>
      </c>
      <c r="M7" s="16">
        <v>0.46998842592592593</v>
      </c>
      <c r="N7" s="17">
        <f>L7-K7</f>
        <v>2.1388888888888846E-2</v>
      </c>
      <c r="O7" s="17">
        <f>N7-MIN($N$3:$N$16)</f>
        <v>5.5208333333332527E-3</v>
      </c>
      <c r="P7" s="18">
        <v>0.21527777777777779</v>
      </c>
      <c r="Q7" s="19">
        <f>MAX(Q$2-ROUND(I7*60*24*0.5,1),0)</f>
        <v>8.1</v>
      </c>
      <c r="R7" s="19">
        <f t="shared" si="3"/>
        <v>16</v>
      </c>
      <c r="S7" s="19">
        <f>MAX(MIN($S$2+ROUND((J7-(G7-E7))*60*24*0.25,1),$S$2),0)</f>
        <v>3</v>
      </c>
      <c r="T7" s="19">
        <f>MAX(MIN($T$2+ROUND((P7-(M7-K7))*60*24*0.25,1),$T$2),0)</f>
        <v>7</v>
      </c>
      <c r="U7" s="37">
        <v>8.1999999999999993</v>
      </c>
      <c r="V7" s="37">
        <v>5.2</v>
      </c>
      <c r="W7" s="37">
        <v>3.5</v>
      </c>
      <c r="X7" s="37">
        <v>4.7</v>
      </c>
      <c r="Y7" s="37">
        <v>3</v>
      </c>
      <c r="Z7" s="37">
        <v>2.1</v>
      </c>
      <c r="AA7" s="37">
        <v>1.8</v>
      </c>
      <c r="AB7" s="37">
        <v>3.9</v>
      </c>
      <c r="AC7" s="37">
        <v>1</v>
      </c>
      <c r="AD7" s="37">
        <v>2.5</v>
      </c>
      <c r="AE7" s="37">
        <v>4</v>
      </c>
      <c r="AF7" s="19">
        <f>SUM(Q7:AE7)</f>
        <v>74</v>
      </c>
      <c r="AG7" s="72">
        <f t="shared" si="7"/>
        <v>5</v>
      </c>
      <c r="AI7" s="78">
        <f t="shared" si="8"/>
        <v>5</v>
      </c>
      <c r="AJ7" s="43">
        <f t="shared" si="9"/>
        <v>-1</v>
      </c>
      <c r="AM7" s="43">
        <v>-1</v>
      </c>
    </row>
    <row r="8" spans="1:41">
      <c r="A8" s="14" t="s">
        <v>164</v>
      </c>
      <c r="B8" s="14" t="s">
        <v>179</v>
      </c>
      <c r="C8" s="14">
        <v>5</v>
      </c>
      <c r="D8" s="15" t="s">
        <v>180</v>
      </c>
      <c r="E8" s="16">
        <v>0.54791666666666605</v>
      </c>
      <c r="F8" s="16">
        <v>0.56126157407407407</v>
      </c>
      <c r="G8" s="16">
        <v>0.60289351851851858</v>
      </c>
      <c r="H8" s="17">
        <f t="shared" si="0"/>
        <v>1.3344907407408013E-2</v>
      </c>
      <c r="I8" s="17">
        <f t="shared" si="1"/>
        <v>4.3055555555560066E-3</v>
      </c>
      <c r="J8" s="18">
        <v>6.25E-2</v>
      </c>
      <c r="K8" s="16">
        <v>0.27638888888888902</v>
      </c>
      <c r="L8" s="16">
        <v>0.30184027777777778</v>
      </c>
      <c r="M8" s="16">
        <v>0.48252314814814817</v>
      </c>
      <c r="N8" s="17">
        <f t="shared" si="2"/>
        <v>2.545138888888876E-2</v>
      </c>
      <c r="O8" s="17">
        <f t="shared" si="10"/>
        <v>9.5833333333331661E-3</v>
      </c>
      <c r="P8" s="18">
        <v>0.21527777777777779</v>
      </c>
      <c r="Q8" s="19">
        <f t="shared" ref="Q8:Q20" si="11">MAX(Q$2-ROUND(I8*60*24*0.5,1),0)</f>
        <v>6.9</v>
      </c>
      <c r="R8" s="19">
        <f t="shared" si="3"/>
        <v>13.1</v>
      </c>
      <c r="S8" s="19">
        <f t="shared" si="4"/>
        <v>3</v>
      </c>
      <c r="T8" s="19">
        <f t="shared" si="5"/>
        <v>7</v>
      </c>
      <c r="U8" s="37">
        <v>8.5</v>
      </c>
      <c r="V8" s="37">
        <v>7</v>
      </c>
      <c r="W8" s="37">
        <v>3.8</v>
      </c>
      <c r="X8" s="37">
        <v>1.6</v>
      </c>
      <c r="Y8" s="37">
        <v>1.5</v>
      </c>
      <c r="Z8" s="37">
        <v>2.1</v>
      </c>
      <c r="AA8" s="37">
        <v>1.8</v>
      </c>
      <c r="AB8" s="37">
        <v>5.2</v>
      </c>
      <c r="AC8" s="37">
        <v>1.5</v>
      </c>
      <c r="AD8" s="37">
        <v>3</v>
      </c>
      <c r="AE8" s="37">
        <v>5</v>
      </c>
      <c r="AF8" s="19">
        <f t="shared" si="6"/>
        <v>71</v>
      </c>
      <c r="AG8" s="72">
        <f t="shared" si="7"/>
        <v>6</v>
      </c>
      <c r="AI8" s="78">
        <f t="shared" si="8"/>
        <v>7</v>
      </c>
      <c r="AJ8" s="43">
        <f t="shared" si="9"/>
        <v>0</v>
      </c>
    </row>
    <row r="9" spans="1:41" s="60" customFormat="1" ht="14.25" thickBot="1">
      <c r="A9" s="52" t="s">
        <v>165</v>
      </c>
      <c r="B9" s="52" t="s">
        <v>130</v>
      </c>
      <c r="C9" s="52">
        <v>7</v>
      </c>
      <c r="D9" s="53" t="s">
        <v>181</v>
      </c>
      <c r="E9" s="54">
        <v>0.54930555555555505</v>
      </c>
      <c r="F9" s="54">
        <v>0.56240740740740736</v>
      </c>
      <c r="G9" s="54">
        <v>0.60280092592592593</v>
      </c>
      <c r="H9" s="55">
        <f t="shared" si="0"/>
        <v>1.3101851851852309E-2</v>
      </c>
      <c r="I9" s="55">
        <f>H9-MIN($H$3:$H$16)</f>
        <v>4.062500000000302E-3</v>
      </c>
      <c r="J9" s="56">
        <v>6.25E-2</v>
      </c>
      <c r="K9" s="54">
        <v>0.27569444444444402</v>
      </c>
      <c r="L9" s="54">
        <v>0.29744212962962963</v>
      </c>
      <c r="M9" s="54">
        <v>0.46572916666666669</v>
      </c>
      <c r="N9" s="55">
        <f t="shared" si="2"/>
        <v>2.1747685185185606E-2</v>
      </c>
      <c r="O9" s="55">
        <f t="shared" si="10"/>
        <v>5.8796296296300121E-3</v>
      </c>
      <c r="P9" s="56">
        <v>0.21527777777777779</v>
      </c>
      <c r="Q9" s="57">
        <f t="shared" si="11"/>
        <v>7.1</v>
      </c>
      <c r="R9" s="57">
        <f t="shared" si="3"/>
        <v>15.8</v>
      </c>
      <c r="S9" s="57">
        <f t="shared" si="4"/>
        <v>3</v>
      </c>
      <c r="T9" s="57">
        <f t="shared" si="5"/>
        <v>7</v>
      </c>
      <c r="U9" s="58">
        <v>6.2</v>
      </c>
      <c r="V9" s="58">
        <v>6.5</v>
      </c>
      <c r="W9" s="58">
        <v>3.1</v>
      </c>
      <c r="X9" s="58">
        <v>0.2</v>
      </c>
      <c r="Y9" s="58">
        <v>2</v>
      </c>
      <c r="Z9" s="58">
        <v>2.5</v>
      </c>
      <c r="AA9" s="58">
        <v>1.4</v>
      </c>
      <c r="AB9" s="58">
        <v>2.9</v>
      </c>
      <c r="AC9" s="58">
        <v>2.5</v>
      </c>
      <c r="AD9" s="58">
        <v>3</v>
      </c>
      <c r="AE9" s="58">
        <v>4.5</v>
      </c>
      <c r="AF9" s="57">
        <f t="shared" si="6"/>
        <v>67.7</v>
      </c>
      <c r="AG9" s="73">
        <f t="shared" si="7"/>
        <v>7</v>
      </c>
      <c r="AI9" s="79">
        <f t="shared" si="8"/>
        <v>6</v>
      </c>
      <c r="AJ9" s="61">
        <f t="shared" si="9"/>
        <v>-0.5</v>
      </c>
      <c r="AK9" s="61"/>
      <c r="AL9" s="61">
        <v>-0.5</v>
      </c>
      <c r="AM9" s="61"/>
      <c r="AN9" s="61"/>
      <c r="AO9" s="61"/>
    </row>
    <row r="10" spans="1:41" ht="14.25" thickTop="1">
      <c r="A10" s="44" t="s">
        <v>170</v>
      </c>
      <c r="B10" s="44" t="s">
        <v>185</v>
      </c>
      <c r="C10" s="44">
        <v>11</v>
      </c>
      <c r="D10" s="45" t="s">
        <v>20</v>
      </c>
      <c r="E10" s="46">
        <v>0.54999999999999905</v>
      </c>
      <c r="F10" s="46">
        <v>0.55962962962962959</v>
      </c>
      <c r="G10" s="46">
        <v>0.59812500000000002</v>
      </c>
      <c r="H10" s="47">
        <f>F10-E10</f>
        <v>9.6296296296305428E-3</v>
      </c>
      <c r="I10" s="47">
        <f t="shared" si="1"/>
        <v>5.9027777777853618E-4</v>
      </c>
      <c r="J10" s="48">
        <v>6.25E-2</v>
      </c>
      <c r="K10" s="46">
        <v>0.27708333333333302</v>
      </c>
      <c r="L10" s="46">
        <v>0.29481481481481481</v>
      </c>
      <c r="M10" s="46">
        <v>0.46650462962962963</v>
      </c>
      <c r="N10" s="47">
        <f>L10-K10</f>
        <v>1.7731481481481792E-2</v>
      </c>
      <c r="O10" s="47">
        <f t="shared" si="10"/>
        <v>1.8634259259261987E-3</v>
      </c>
      <c r="P10" s="48">
        <v>0.21527777777777779</v>
      </c>
      <c r="Q10" s="49">
        <f>MAX(Q$2-ROUND(I10*60*24*0.5,1),0)</f>
        <v>9.6</v>
      </c>
      <c r="R10" s="49">
        <f t="shared" si="3"/>
        <v>18.7</v>
      </c>
      <c r="S10" s="49">
        <f t="shared" si="4"/>
        <v>3</v>
      </c>
      <c r="T10" s="49">
        <f t="shared" si="5"/>
        <v>7</v>
      </c>
      <c r="U10" s="50">
        <v>9.8000000000000007</v>
      </c>
      <c r="V10" s="50">
        <v>8</v>
      </c>
      <c r="W10" s="50">
        <v>4</v>
      </c>
      <c r="X10" s="50">
        <v>6.2</v>
      </c>
      <c r="Y10" s="50">
        <v>5</v>
      </c>
      <c r="Z10" s="50">
        <v>3.5</v>
      </c>
      <c r="AA10" s="50">
        <v>2</v>
      </c>
      <c r="AB10" s="50">
        <v>6</v>
      </c>
      <c r="AC10" s="50">
        <v>3.5</v>
      </c>
      <c r="AD10" s="50">
        <v>3</v>
      </c>
      <c r="AE10" s="50">
        <v>5</v>
      </c>
      <c r="AF10" s="49">
        <f>SUM(Q10:AE10)</f>
        <v>94.3</v>
      </c>
      <c r="AG10" s="74">
        <f t="shared" ref="AG10:AG16" si="12">RANK(AF10,$AF$10:$AF$16)</f>
        <v>1</v>
      </c>
      <c r="AI10" s="78">
        <f t="shared" ref="AI10:AI16" si="13">RANK(H10,$H$10:$H$16,1)</f>
        <v>1</v>
      </c>
      <c r="AJ10" s="43">
        <f t="shared" si="9"/>
        <v>0</v>
      </c>
    </row>
    <row r="11" spans="1:41">
      <c r="A11" s="14" t="s">
        <v>169</v>
      </c>
      <c r="B11" s="14" t="s">
        <v>135</v>
      </c>
      <c r="C11" s="14">
        <v>13</v>
      </c>
      <c r="D11" s="15" t="s">
        <v>143</v>
      </c>
      <c r="E11" s="16">
        <v>0.55138888888888804</v>
      </c>
      <c r="F11" s="16">
        <v>0.56146990740740743</v>
      </c>
      <c r="G11" s="16">
        <v>0.60010416666666666</v>
      </c>
      <c r="H11" s="17">
        <f t="shared" si="0"/>
        <v>1.0081018518519391E-2</v>
      </c>
      <c r="I11" s="17">
        <f t="shared" si="1"/>
        <v>1.0416666666673846E-3</v>
      </c>
      <c r="J11" s="18">
        <v>6.25E-2</v>
      </c>
      <c r="K11" s="16">
        <v>0.27777777777777801</v>
      </c>
      <c r="L11" s="16">
        <v>0.29493055555555553</v>
      </c>
      <c r="M11" s="16">
        <v>0.4689814814814815</v>
      </c>
      <c r="N11" s="17">
        <f t="shared" si="2"/>
        <v>1.7152777777777517E-2</v>
      </c>
      <c r="O11" s="17">
        <f t="shared" si="10"/>
        <v>1.2847222222219234E-3</v>
      </c>
      <c r="P11" s="18">
        <v>0.21527777777777779</v>
      </c>
      <c r="Q11" s="19">
        <f t="shared" si="11"/>
        <v>9.1999999999999993</v>
      </c>
      <c r="R11" s="19">
        <f t="shared" si="3"/>
        <v>19.100000000000001</v>
      </c>
      <c r="S11" s="19">
        <f t="shared" si="4"/>
        <v>3</v>
      </c>
      <c r="T11" s="19">
        <f t="shared" si="5"/>
        <v>7</v>
      </c>
      <c r="U11" s="37">
        <v>9.6</v>
      </c>
      <c r="V11" s="37">
        <v>8</v>
      </c>
      <c r="W11" s="37">
        <v>4</v>
      </c>
      <c r="X11" s="37">
        <v>5.4</v>
      </c>
      <c r="Y11" s="37">
        <v>4.5</v>
      </c>
      <c r="Z11" s="37">
        <v>4</v>
      </c>
      <c r="AA11" s="37">
        <v>1.6</v>
      </c>
      <c r="AB11" s="37">
        <v>5.4</v>
      </c>
      <c r="AC11" s="37">
        <v>4</v>
      </c>
      <c r="AD11" s="37">
        <v>3</v>
      </c>
      <c r="AE11" s="37">
        <v>5</v>
      </c>
      <c r="AF11" s="19">
        <f t="shared" si="6"/>
        <v>92.8</v>
      </c>
      <c r="AG11" s="72">
        <f t="shared" si="12"/>
        <v>2</v>
      </c>
      <c r="AI11" s="78">
        <f t="shared" si="13"/>
        <v>2</v>
      </c>
      <c r="AJ11" s="43">
        <f t="shared" si="9"/>
        <v>0</v>
      </c>
    </row>
    <row r="12" spans="1:41">
      <c r="A12" s="44" t="s">
        <v>171</v>
      </c>
      <c r="B12" s="44" t="s">
        <v>184</v>
      </c>
      <c r="C12" s="14">
        <v>15</v>
      </c>
      <c r="D12" s="45" t="s">
        <v>20</v>
      </c>
      <c r="E12" s="16">
        <v>0.55277777777777704</v>
      </c>
      <c r="F12" s="46">
        <v>0.56371527777777775</v>
      </c>
      <c r="G12" s="46">
        <v>0.60392361111111115</v>
      </c>
      <c r="H12" s="47">
        <f t="shared" si="0"/>
        <v>1.0937500000000711E-2</v>
      </c>
      <c r="I12" s="17">
        <f t="shared" si="1"/>
        <v>1.8981481481487039E-3</v>
      </c>
      <c r="J12" s="48">
        <v>6.25E-2</v>
      </c>
      <c r="K12" s="46">
        <v>0.27847222222222201</v>
      </c>
      <c r="L12" s="46">
        <v>0.2986111111111111</v>
      </c>
      <c r="M12" s="46">
        <v>0.48122685185185188</v>
      </c>
      <c r="N12" s="47">
        <f t="shared" si="2"/>
        <v>2.0138888888889095E-2</v>
      </c>
      <c r="O12" s="47">
        <f t="shared" si="10"/>
        <v>4.2708333333335013E-3</v>
      </c>
      <c r="P12" s="48">
        <v>0.21527777777777779</v>
      </c>
      <c r="Q12" s="49">
        <f t="shared" si="11"/>
        <v>8.6</v>
      </c>
      <c r="R12" s="49">
        <f t="shared" si="3"/>
        <v>16.899999999999999</v>
      </c>
      <c r="S12" s="49">
        <f t="shared" si="4"/>
        <v>3</v>
      </c>
      <c r="T12" s="49">
        <f t="shared" si="5"/>
        <v>7</v>
      </c>
      <c r="U12" s="50">
        <v>9.4</v>
      </c>
      <c r="V12" s="50">
        <v>8</v>
      </c>
      <c r="W12" s="50">
        <v>4</v>
      </c>
      <c r="X12" s="50">
        <v>5.9</v>
      </c>
      <c r="Y12" s="50">
        <v>5</v>
      </c>
      <c r="Z12" s="50">
        <v>4</v>
      </c>
      <c r="AA12" s="50">
        <v>1.8</v>
      </c>
      <c r="AB12" s="50">
        <v>6</v>
      </c>
      <c r="AC12" s="50">
        <v>4</v>
      </c>
      <c r="AD12" s="50">
        <v>3</v>
      </c>
      <c r="AE12" s="50">
        <v>5</v>
      </c>
      <c r="AF12" s="49">
        <f t="shared" si="6"/>
        <v>91.6</v>
      </c>
      <c r="AG12" s="74">
        <f t="shared" si="12"/>
        <v>3</v>
      </c>
      <c r="AI12" s="78">
        <f t="shared" si="13"/>
        <v>3</v>
      </c>
      <c r="AJ12" s="43">
        <f t="shared" si="9"/>
        <v>0</v>
      </c>
    </row>
    <row r="13" spans="1:41">
      <c r="A13" s="14" t="s">
        <v>170</v>
      </c>
      <c r="B13" s="14" t="s">
        <v>186</v>
      </c>
      <c r="C13" s="14">
        <v>18</v>
      </c>
      <c r="D13" s="15" t="s">
        <v>143</v>
      </c>
      <c r="E13" s="16">
        <v>0.55416666666666503</v>
      </c>
      <c r="F13" s="16">
        <v>0.56704861111111116</v>
      </c>
      <c r="G13" s="16">
        <v>0.60128472222222229</v>
      </c>
      <c r="H13" s="17">
        <f t="shared" si="0"/>
        <v>1.2881944444446125E-2</v>
      </c>
      <c r="I13" s="17">
        <f t="shared" si="1"/>
        <v>3.8425925925941185E-3</v>
      </c>
      <c r="J13" s="18">
        <v>6.25E-2</v>
      </c>
      <c r="K13" s="16">
        <v>0.27986111111111101</v>
      </c>
      <c r="L13" s="16">
        <v>0.29979166666666668</v>
      </c>
      <c r="M13" s="16">
        <v>0.47465277777777781</v>
      </c>
      <c r="N13" s="17">
        <f t="shared" si="2"/>
        <v>1.9930555555555673E-2</v>
      </c>
      <c r="O13" s="17">
        <f t="shared" si="10"/>
        <v>4.0625000000000799E-3</v>
      </c>
      <c r="P13" s="18">
        <v>0.21527777777777779</v>
      </c>
      <c r="Q13" s="19">
        <f t="shared" si="11"/>
        <v>7.2</v>
      </c>
      <c r="R13" s="19">
        <f t="shared" si="3"/>
        <v>17.100000000000001</v>
      </c>
      <c r="S13" s="19">
        <f t="shared" si="4"/>
        <v>3</v>
      </c>
      <c r="T13" s="19">
        <f t="shared" si="5"/>
        <v>7</v>
      </c>
      <c r="U13" s="37">
        <v>9</v>
      </c>
      <c r="V13" s="37">
        <v>7.6</v>
      </c>
      <c r="W13" s="37">
        <v>4</v>
      </c>
      <c r="X13" s="37">
        <v>2.2000000000000002</v>
      </c>
      <c r="Y13" s="37">
        <v>1</v>
      </c>
      <c r="Z13" s="37">
        <v>3.8</v>
      </c>
      <c r="AA13" s="37">
        <v>1.8</v>
      </c>
      <c r="AB13" s="37">
        <v>4.4000000000000004</v>
      </c>
      <c r="AC13" s="37">
        <v>4</v>
      </c>
      <c r="AD13" s="37">
        <v>3</v>
      </c>
      <c r="AE13" s="37">
        <v>5</v>
      </c>
      <c r="AF13" s="19">
        <f t="shared" si="6"/>
        <v>80.099999999999994</v>
      </c>
      <c r="AG13" s="72">
        <f t="shared" si="12"/>
        <v>4</v>
      </c>
      <c r="AI13" s="78">
        <f t="shared" si="13"/>
        <v>5</v>
      </c>
      <c r="AJ13" s="43">
        <f t="shared" si="9"/>
        <v>0</v>
      </c>
    </row>
    <row r="14" spans="1:41">
      <c r="A14" s="14" t="s">
        <v>171</v>
      </c>
      <c r="B14" s="14" t="s">
        <v>131</v>
      </c>
      <c r="C14" s="14">
        <v>17</v>
      </c>
      <c r="D14" s="15" t="s">
        <v>143</v>
      </c>
      <c r="E14" s="16">
        <v>0.55347222222222103</v>
      </c>
      <c r="F14" s="16">
        <v>0.5653125</v>
      </c>
      <c r="G14" s="16">
        <v>0.60188657407407409</v>
      </c>
      <c r="H14" s="17">
        <f t="shared" si="0"/>
        <v>1.1840277777778963E-2</v>
      </c>
      <c r="I14" s="17">
        <f t="shared" si="1"/>
        <v>2.8009259259269559E-3</v>
      </c>
      <c r="J14" s="18">
        <v>6.25E-2</v>
      </c>
      <c r="K14" s="16">
        <v>0.27916666666666701</v>
      </c>
      <c r="L14" s="16">
        <v>0.3036921296296296</v>
      </c>
      <c r="M14" s="16">
        <v>0.47662037037037036</v>
      </c>
      <c r="N14" s="17">
        <f t="shared" si="2"/>
        <v>2.4525462962962596E-2</v>
      </c>
      <c r="O14" s="17">
        <f>N14-MIN($N$3:$N$16)</f>
        <v>8.6574074074070029E-3</v>
      </c>
      <c r="P14" s="18">
        <v>0.21527777777777779</v>
      </c>
      <c r="Q14" s="19">
        <f t="shared" si="11"/>
        <v>8</v>
      </c>
      <c r="R14" s="19">
        <f t="shared" si="3"/>
        <v>13.8</v>
      </c>
      <c r="S14" s="19">
        <f t="shared" si="4"/>
        <v>3</v>
      </c>
      <c r="T14" s="19">
        <f t="shared" si="5"/>
        <v>7</v>
      </c>
      <c r="U14" s="37">
        <v>8.4</v>
      </c>
      <c r="V14" s="37">
        <v>7.8</v>
      </c>
      <c r="W14" s="37">
        <v>4</v>
      </c>
      <c r="X14" s="37">
        <v>1.9</v>
      </c>
      <c r="Y14" s="37">
        <v>0</v>
      </c>
      <c r="Z14" s="37">
        <v>4</v>
      </c>
      <c r="AA14" s="37">
        <v>2</v>
      </c>
      <c r="AB14" s="37">
        <v>4</v>
      </c>
      <c r="AC14" s="37">
        <v>3</v>
      </c>
      <c r="AD14" s="37">
        <v>3</v>
      </c>
      <c r="AE14" s="37">
        <v>5</v>
      </c>
      <c r="AF14" s="19">
        <f t="shared" si="6"/>
        <v>74.900000000000006</v>
      </c>
      <c r="AG14" s="72">
        <f t="shared" si="12"/>
        <v>5</v>
      </c>
      <c r="AI14" s="78">
        <f t="shared" si="13"/>
        <v>4</v>
      </c>
      <c r="AJ14" s="43">
        <f t="shared" si="9"/>
        <v>0</v>
      </c>
    </row>
    <row r="15" spans="1:41">
      <c r="A15" s="14" t="s">
        <v>172</v>
      </c>
      <c r="B15" s="14" t="s">
        <v>125</v>
      </c>
      <c r="C15" s="14">
        <v>12</v>
      </c>
      <c r="D15" s="15" t="s">
        <v>149</v>
      </c>
      <c r="E15" s="16">
        <v>0.55069444444444404</v>
      </c>
      <c r="F15" s="16">
        <v>0.56516203703703705</v>
      </c>
      <c r="G15" s="16">
        <v>0.609375</v>
      </c>
      <c r="H15" s="17">
        <f>F15-E15</f>
        <v>1.4467592592593004E-2</v>
      </c>
      <c r="I15" s="17">
        <f t="shared" si="1"/>
        <v>5.4282407407409972E-3</v>
      </c>
      <c r="J15" s="18">
        <v>6.25E-2</v>
      </c>
      <c r="K15" s="16">
        <v>0.28125</v>
      </c>
      <c r="L15" s="16">
        <v>0.30984953703703705</v>
      </c>
      <c r="M15" s="16">
        <v>0.49024305555555553</v>
      </c>
      <c r="N15" s="17">
        <f>L15-K15</f>
        <v>2.8599537037037048E-2</v>
      </c>
      <c r="O15" s="17">
        <f t="shared" si="10"/>
        <v>1.2731481481481455E-2</v>
      </c>
      <c r="P15" s="18">
        <v>0.21527777777777779</v>
      </c>
      <c r="Q15" s="19">
        <f>MAX(Q$2-ROUND(I15*60*24*0.5,1),0)</f>
        <v>6.1</v>
      </c>
      <c r="R15" s="19">
        <f t="shared" si="3"/>
        <v>10.8</v>
      </c>
      <c r="S15" s="19">
        <f t="shared" si="4"/>
        <v>3</v>
      </c>
      <c r="T15" s="19">
        <f t="shared" si="5"/>
        <v>7</v>
      </c>
      <c r="U15" s="37">
        <v>8.6999999999999993</v>
      </c>
      <c r="V15" s="37">
        <v>6.8</v>
      </c>
      <c r="W15" s="37">
        <v>4</v>
      </c>
      <c r="X15" s="37">
        <v>0.4</v>
      </c>
      <c r="Y15" s="37">
        <v>2</v>
      </c>
      <c r="Z15" s="37">
        <v>2.7</v>
      </c>
      <c r="AA15" s="37">
        <v>1.4</v>
      </c>
      <c r="AB15" s="37">
        <v>4</v>
      </c>
      <c r="AC15" s="37">
        <v>0</v>
      </c>
      <c r="AD15" s="37">
        <v>2.5</v>
      </c>
      <c r="AE15" s="37">
        <v>3.5</v>
      </c>
      <c r="AF15" s="19">
        <f>SUM(Q15:AE15)</f>
        <v>62.899999999999991</v>
      </c>
      <c r="AG15" s="72">
        <f t="shared" si="12"/>
        <v>6</v>
      </c>
      <c r="AI15" s="78">
        <f t="shared" si="13"/>
        <v>7</v>
      </c>
      <c r="AJ15" s="43">
        <f t="shared" si="9"/>
        <v>-0.5</v>
      </c>
      <c r="AL15" s="43">
        <v>-0.5</v>
      </c>
    </row>
    <row r="16" spans="1:41" s="69" customFormat="1" ht="14.25" thickBot="1">
      <c r="A16" s="62" t="s">
        <v>170</v>
      </c>
      <c r="B16" s="62" t="s">
        <v>182</v>
      </c>
      <c r="C16" s="62">
        <v>14</v>
      </c>
      <c r="D16" s="63" t="s">
        <v>183</v>
      </c>
      <c r="E16" s="64">
        <v>0.55208333333333204</v>
      </c>
      <c r="F16" s="64">
        <v>0.5665162037037037</v>
      </c>
      <c r="G16" s="64">
        <v>0.60896990740740742</v>
      </c>
      <c r="H16" s="65">
        <f>F16-E16</f>
        <v>1.4432870370371664E-2</v>
      </c>
      <c r="I16" s="65">
        <f t="shared" si="1"/>
        <v>5.3935185185196577E-3</v>
      </c>
      <c r="J16" s="66">
        <v>6.25E-2</v>
      </c>
      <c r="K16" s="64">
        <v>0.280555555555556</v>
      </c>
      <c r="L16" s="64">
        <v>0.30722222222222223</v>
      </c>
      <c r="M16" s="64">
        <v>0.49120370370370375</v>
      </c>
      <c r="N16" s="65">
        <f>L16-K16</f>
        <v>2.6666666666666228E-2</v>
      </c>
      <c r="O16" s="65">
        <f t="shared" si="10"/>
        <v>1.0798611111110634E-2</v>
      </c>
      <c r="P16" s="66">
        <v>0.21527777777777779</v>
      </c>
      <c r="Q16" s="67">
        <f>MAX(Q$2-ROUND(I16*60*24*0.5,1),0)</f>
        <v>6.1</v>
      </c>
      <c r="R16" s="67">
        <f t="shared" si="3"/>
        <v>12.2</v>
      </c>
      <c r="S16" s="67">
        <f t="shared" si="4"/>
        <v>3</v>
      </c>
      <c r="T16" s="67">
        <f t="shared" si="5"/>
        <v>7</v>
      </c>
      <c r="U16" s="68">
        <v>4.7</v>
      </c>
      <c r="V16" s="68">
        <v>6.8</v>
      </c>
      <c r="W16" s="68">
        <v>2.9</v>
      </c>
      <c r="X16" s="68">
        <v>0.7</v>
      </c>
      <c r="Y16" s="68">
        <v>2</v>
      </c>
      <c r="Z16" s="68">
        <v>3.2</v>
      </c>
      <c r="AA16" s="68">
        <v>2</v>
      </c>
      <c r="AB16" s="68">
        <v>3.1</v>
      </c>
      <c r="AC16" s="68">
        <v>0</v>
      </c>
      <c r="AD16" s="68">
        <v>3</v>
      </c>
      <c r="AE16" s="68">
        <v>5</v>
      </c>
      <c r="AF16" s="67">
        <f>SUM(Q16:AE16)</f>
        <v>61.7</v>
      </c>
      <c r="AG16" s="75">
        <f t="shared" si="12"/>
        <v>7</v>
      </c>
      <c r="AI16" s="80">
        <f t="shared" si="13"/>
        <v>6</v>
      </c>
      <c r="AJ16" s="70">
        <f t="shared" si="9"/>
        <v>0</v>
      </c>
      <c r="AK16" s="70"/>
      <c r="AL16" s="70"/>
      <c r="AM16" s="70"/>
      <c r="AN16" s="70"/>
      <c r="AO16" s="70"/>
    </row>
    <row r="17" spans="1:41">
      <c r="A17" s="44" t="s">
        <v>174</v>
      </c>
      <c r="B17" s="44" t="s">
        <v>140</v>
      </c>
      <c r="C17" s="44">
        <v>22</v>
      </c>
      <c r="D17" s="45" t="s">
        <v>52</v>
      </c>
      <c r="E17" s="46">
        <v>0.55555555555555403</v>
      </c>
      <c r="F17" s="46">
        <v>0.56729166666666664</v>
      </c>
      <c r="G17" s="46">
        <v>0.61405092592592592</v>
      </c>
      <c r="H17" s="47">
        <f t="shared" si="0"/>
        <v>1.1736111111112613E-2</v>
      </c>
      <c r="I17" s="47">
        <f>H17-MIN($H$17:$H$21)</f>
        <v>0</v>
      </c>
      <c r="J17" s="48">
        <v>6.9444444444444434E-2</v>
      </c>
      <c r="K17" s="46">
        <v>0.29583333333333334</v>
      </c>
      <c r="L17" s="46">
        <v>0.31701388888888887</v>
      </c>
      <c r="M17" s="46">
        <v>0.50430555555555556</v>
      </c>
      <c r="N17" s="47">
        <f t="shared" si="2"/>
        <v>2.1180555555555536E-2</v>
      </c>
      <c r="O17" s="47">
        <f>N17-MIN(N$17:N$21)</f>
        <v>3.4722222222216548E-4</v>
      </c>
      <c r="P17" s="48">
        <v>0.23611111111111113</v>
      </c>
      <c r="Q17" s="49">
        <f t="shared" si="11"/>
        <v>10</v>
      </c>
      <c r="R17" s="49">
        <f t="shared" si="3"/>
        <v>19.8</v>
      </c>
      <c r="S17" s="49">
        <f t="shared" si="4"/>
        <v>3</v>
      </c>
      <c r="T17" s="49">
        <f t="shared" si="5"/>
        <v>7</v>
      </c>
      <c r="U17" s="50">
        <v>10</v>
      </c>
      <c r="V17" s="50">
        <v>8</v>
      </c>
      <c r="W17" s="50">
        <v>4</v>
      </c>
      <c r="X17" s="50">
        <v>6.6</v>
      </c>
      <c r="Y17" s="50">
        <v>7</v>
      </c>
      <c r="Z17" s="50">
        <v>3.2</v>
      </c>
      <c r="AA17" s="50">
        <v>2</v>
      </c>
      <c r="AB17" s="50">
        <v>6</v>
      </c>
      <c r="AC17" s="50">
        <v>4</v>
      </c>
      <c r="AD17" s="50">
        <v>3</v>
      </c>
      <c r="AE17" s="50">
        <v>5</v>
      </c>
      <c r="AF17" s="49">
        <f t="shared" si="6"/>
        <v>98.6</v>
      </c>
      <c r="AG17" s="74">
        <f>RANK(AF17,$AF$17:$AF$19)</f>
        <v>1</v>
      </c>
      <c r="AI17" s="78">
        <f>RANK(H17,$H$17:$H$19,1)</f>
        <v>1</v>
      </c>
      <c r="AJ17" s="43">
        <f t="shared" si="9"/>
        <v>0</v>
      </c>
    </row>
    <row r="18" spans="1:41">
      <c r="A18" s="44" t="s">
        <v>176</v>
      </c>
      <c r="B18" s="44" t="s">
        <v>139</v>
      </c>
      <c r="C18" s="44">
        <v>21</v>
      </c>
      <c r="D18" s="45" t="s">
        <v>51</v>
      </c>
      <c r="E18" s="16">
        <v>0.55486111111111003</v>
      </c>
      <c r="F18" s="46">
        <v>0.56694444444444447</v>
      </c>
      <c r="G18" s="46">
        <v>0.62123842592592593</v>
      </c>
      <c r="H18" s="47">
        <f>F18-E18</f>
        <v>1.2083333333334445E-2</v>
      </c>
      <c r="I18" s="17">
        <f>H18-MIN($H$17:$H$21)</f>
        <v>3.4722222222183241E-4</v>
      </c>
      <c r="J18" s="48">
        <v>6.9444444444444434E-2</v>
      </c>
      <c r="K18" s="46">
        <v>0.29652777777777778</v>
      </c>
      <c r="L18" s="46">
        <v>0.31736111111111115</v>
      </c>
      <c r="M18" s="46">
        <v>0.51694444444444443</v>
      </c>
      <c r="N18" s="47">
        <f>L18-K18</f>
        <v>2.083333333333337E-2</v>
      </c>
      <c r="O18" s="47">
        <f>N18-MIN(N$17:N$21)</f>
        <v>0</v>
      </c>
      <c r="P18" s="48">
        <v>0.23611111111111113</v>
      </c>
      <c r="Q18" s="49">
        <f>MAX(Q$2-ROUND(I18*60*24*0.5,1),0)</f>
        <v>9.8000000000000007</v>
      </c>
      <c r="R18" s="49">
        <f t="shared" si="3"/>
        <v>20</v>
      </c>
      <c r="S18" s="49">
        <f t="shared" si="4"/>
        <v>3</v>
      </c>
      <c r="T18" s="49">
        <f t="shared" si="5"/>
        <v>7</v>
      </c>
      <c r="U18" s="50">
        <v>9.8000000000000007</v>
      </c>
      <c r="V18" s="50">
        <v>8</v>
      </c>
      <c r="W18" s="50">
        <v>4</v>
      </c>
      <c r="X18" s="50">
        <v>5.0999999999999996</v>
      </c>
      <c r="Y18" s="50">
        <v>6</v>
      </c>
      <c r="Z18" s="50">
        <v>4</v>
      </c>
      <c r="AA18" s="50">
        <v>2</v>
      </c>
      <c r="AB18" s="50">
        <v>6</v>
      </c>
      <c r="AC18" s="50">
        <v>4</v>
      </c>
      <c r="AD18" s="50">
        <v>3</v>
      </c>
      <c r="AE18" s="50">
        <v>5</v>
      </c>
      <c r="AF18" s="49">
        <f>SUM(Q18:AE18)</f>
        <v>96.699999999999989</v>
      </c>
      <c r="AG18" s="74">
        <f>RANK(AF18,$AF$17:$AF$19)</f>
        <v>2</v>
      </c>
      <c r="AI18" s="78">
        <f>RANK(H18,$H$17:$H$19,1)</f>
        <v>2</v>
      </c>
      <c r="AJ18" s="43">
        <f t="shared" si="9"/>
        <v>0</v>
      </c>
    </row>
    <row r="19" spans="1:41" s="60" customFormat="1" ht="14.25" thickBot="1">
      <c r="A19" s="52" t="s">
        <v>175</v>
      </c>
      <c r="B19" s="52" t="s">
        <v>133</v>
      </c>
      <c r="C19" s="52">
        <v>23</v>
      </c>
      <c r="D19" s="53" t="s">
        <v>187</v>
      </c>
      <c r="E19" s="54">
        <v>0.55624999999999802</v>
      </c>
      <c r="F19" s="54">
        <v>0.57347222222222227</v>
      </c>
      <c r="G19" s="54">
        <v>0.62013888888888891</v>
      </c>
      <c r="H19" s="55">
        <f>F19-E19</f>
        <v>1.7222222222224248E-2</v>
      </c>
      <c r="I19" s="55">
        <f>H19-MIN($H$17:$H$21)</f>
        <v>5.4861111111116356E-3</v>
      </c>
      <c r="J19" s="56">
        <v>6.9444444444444434E-2</v>
      </c>
      <c r="K19" s="54">
        <v>0.29722222222222222</v>
      </c>
      <c r="L19" s="54">
        <v>0.33054398148148151</v>
      </c>
      <c r="M19" s="54">
        <v>0.52024305555555561</v>
      </c>
      <c r="N19" s="55">
        <f>L19-K19</f>
        <v>3.3321759259259287E-2</v>
      </c>
      <c r="O19" s="55">
        <f>N19-MIN(N$17:N$21)</f>
        <v>1.2488425925925917E-2</v>
      </c>
      <c r="P19" s="56">
        <v>0.23611111111111113</v>
      </c>
      <c r="Q19" s="57">
        <f>MAX(Q$2-ROUND(I19*60*24*0.5,1),0)</f>
        <v>6</v>
      </c>
      <c r="R19" s="57">
        <f t="shared" si="3"/>
        <v>11</v>
      </c>
      <c r="S19" s="57">
        <f t="shared" si="4"/>
        <v>3</v>
      </c>
      <c r="T19" s="57">
        <f t="shared" si="5"/>
        <v>7</v>
      </c>
      <c r="U19" s="58">
        <v>3</v>
      </c>
      <c r="V19" s="58">
        <v>7</v>
      </c>
      <c r="W19" s="58">
        <v>2.2999999999999998</v>
      </c>
      <c r="X19" s="58">
        <v>0.3</v>
      </c>
      <c r="Y19" s="58">
        <v>2</v>
      </c>
      <c r="Z19" s="58">
        <v>2.9</v>
      </c>
      <c r="AA19" s="58">
        <v>1.4</v>
      </c>
      <c r="AB19" s="58">
        <v>2.1</v>
      </c>
      <c r="AC19" s="58">
        <v>0</v>
      </c>
      <c r="AD19" s="58">
        <v>1</v>
      </c>
      <c r="AE19" s="58">
        <v>2.5</v>
      </c>
      <c r="AF19" s="57">
        <f>SUM(Q19:AE19)</f>
        <v>51.499999999999993</v>
      </c>
      <c r="AG19" s="73">
        <f>RANK(AF19,$AF$17:$AF$19)</f>
        <v>3</v>
      </c>
      <c r="AI19" s="79">
        <f>RANK(H19,$H$17:$H$19,1)</f>
        <v>3</v>
      </c>
      <c r="AJ19" s="61">
        <f t="shared" si="9"/>
        <v>0</v>
      </c>
      <c r="AK19" s="61"/>
      <c r="AL19" s="61"/>
      <c r="AM19" s="61"/>
      <c r="AN19" s="61"/>
      <c r="AO19" s="61"/>
    </row>
    <row r="20" spans="1:41" ht="14.25" thickTop="1">
      <c r="A20" s="44" t="s">
        <v>177</v>
      </c>
      <c r="B20" s="44" t="s">
        <v>139</v>
      </c>
      <c r="C20" s="44">
        <v>31</v>
      </c>
      <c r="D20" s="45" t="s">
        <v>56</v>
      </c>
      <c r="E20" s="46">
        <v>0.55694444444444302</v>
      </c>
      <c r="F20" s="46">
        <v>0.57266203703703711</v>
      </c>
      <c r="G20" s="46">
        <v>0.6219675925925926</v>
      </c>
      <c r="H20" s="47">
        <f t="shared" si="0"/>
        <v>1.5717592592594087E-2</v>
      </c>
      <c r="I20" s="47">
        <f>H20-MIN($H$17:$H$21)</f>
        <v>3.9814814814814747E-3</v>
      </c>
      <c r="J20" s="48">
        <v>6.9444444444444434E-2</v>
      </c>
      <c r="K20" s="46">
        <v>0.2986111111111111</v>
      </c>
      <c r="L20" s="46">
        <v>0.32510416666666669</v>
      </c>
      <c r="M20" s="46">
        <v>0.52071759259259254</v>
      </c>
      <c r="N20" s="47">
        <f t="shared" si="2"/>
        <v>2.6493055555555589E-2</v>
      </c>
      <c r="O20" s="47">
        <f>N20-MIN(N$17:N$21)</f>
        <v>5.6597222222222188E-3</v>
      </c>
      <c r="P20" s="48">
        <v>0.23611111111111113</v>
      </c>
      <c r="Q20" s="49">
        <f t="shared" si="11"/>
        <v>7.1</v>
      </c>
      <c r="R20" s="49">
        <f t="shared" si="3"/>
        <v>15.9</v>
      </c>
      <c r="S20" s="49">
        <f t="shared" si="4"/>
        <v>3</v>
      </c>
      <c r="T20" s="49">
        <f t="shared" si="5"/>
        <v>7</v>
      </c>
      <c r="U20" s="50">
        <v>8.6</v>
      </c>
      <c r="V20" s="50">
        <v>8</v>
      </c>
      <c r="W20" s="50">
        <v>4</v>
      </c>
      <c r="X20" s="50">
        <v>6</v>
      </c>
      <c r="Y20" s="50">
        <v>5</v>
      </c>
      <c r="Z20" s="50">
        <v>2.6</v>
      </c>
      <c r="AA20" s="50">
        <v>2</v>
      </c>
      <c r="AB20" s="50">
        <v>5.4</v>
      </c>
      <c r="AC20" s="50">
        <v>3.5</v>
      </c>
      <c r="AD20" s="50">
        <v>3</v>
      </c>
      <c r="AE20" s="50">
        <v>5</v>
      </c>
      <c r="AF20" s="49">
        <f t="shared" si="6"/>
        <v>86.1</v>
      </c>
      <c r="AG20" s="74">
        <f>RANK(AF20,$AF$20:$AF$21)</f>
        <v>1</v>
      </c>
      <c r="AI20" s="78">
        <f>RANK(H20,$H$20:$H$21,1)</f>
        <v>2</v>
      </c>
      <c r="AJ20" s="43">
        <f t="shared" si="9"/>
        <v>0</v>
      </c>
    </row>
    <row r="21" spans="1:41">
      <c r="A21" s="14" t="s">
        <v>188</v>
      </c>
      <c r="B21" s="14" t="s">
        <v>122</v>
      </c>
      <c r="C21" s="14">
        <v>32</v>
      </c>
      <c r="D21" s="15" t="s">
        <v>57</v>
      </c>
      <c r="E21" s="16">
        <v>0.55763888888888702</v>
      </c>
      <c r="F21" s="16">
        <v>0.57173611111111111</v>
      </c>
      <c r="G21" s="16">
        <v>0.6131712962962963</v>
      </c>
      <c r="H21" s="17">
        <f>F21-E21</f>
        <v>1.4097222222224093E-2</v>
      </c>
      <c r="I21" s="17">
        <f>H21-MIN($H$17:$H$21)</f>
        <v>2.3611111111114802E-3</v>
      </c>
      <c r="J21" s="18">
        <v>6.9444444444444434E-2</v>
      </c>
      <c r="K21" s="16">
        <v>0.29791666666666666</v>
      </c>
      <c r="L21" s="16">
        <v>0.32491898148148146</v>
      </c>
      <c r="M21" s="16" t="s">
        <v>192</v>
      </c>
      <c r="N21" s="17">
        <f>L21-K21</f>
        <v>2.7002314814814798E-2</v>
      </c>
      <c r="O21" s="17">
        <f>N21-MIN(N$17:N$21)</f>
        <v>6.1689814814814281E-3</v>
      </c>
      <c r="P21" s="18">
        <v>0.23611111111111113</v>
      </c>
      <c r="Q21" s="19">
        <f>MAX(Q$2-ROUND(I21*60*24*0.5,1),0)</f>
        <v>8.3000000000000007</v>
      </c>
      <c r="R21" s="19">
        <f t="shared" si="3"/>
        <v>15.6</v>
      </c>
      <c r="S21" s="19">
        <f t="shared" si="4"/>
        <v>3</v>
      </c>
      <c r="T21" s="19">
        <v>0</v>
      </c>
      <c r="U21" s="37">
        <v>5.6</v>
      </c>
      <c r="V21" s="37">
        <v>8</v>
      </c>
      <c r="W21" s="37">
        <v>2.4</v>
      </c>
      <c r="X21" s="37">
        <v>3.2</v>
      </c>
      <c r="Y21" s="37">
        <v>5</v>
      </c>
      <c r="Z21" s="37">
        <v>2.8</v>
      </c>
      <c r="AA21" s="37">
        <v>1.6</v>
      </c>
      <c r="AB21" s="37">
        <v>4.5</v>
      </c>
      <c r="AC21" s="37">
        <v>2.5</v>
      </c>
      <c r="AD21" s="37">
        <v>3</v>
      </c>
      <c r="AE21" s="37">
        <v>5</v>
      </c>
      <c r="AF21" s="83" t="s">
        <v>194</v>
      </c>
      <c r="AG21" s="72"/>
      <c r="AH21" t="s">
        <v>193</v>
      </c>
      <c r="AI21" s="78">
        <f>RANK(H21,$H$20:$H$21,1)</f>
        <v>1</v>
      </c>
      <c r="AJ21" s="43">
        <f t="shared" si="9"/>
        <v>0</v>
      </c>
    </row>
    <row r="23" spans="1:41">
      <c r="A23" s="81" t="s">
        <v>189</v>
      </c>
      <c r="Q23" s="29">
        <f>AVERAGE(Q3:Q21)</f>
        <v>8.215789473684211</v>
      </c>
      <c r="R23" s="29">
        <f t="shared" ref="R23:AF23" si="14">AVERAGE(R3:R21)</f>
        <v>16.405263157894741</v>
      </c>
      <c r="S23" s="29">
        <f t="shared" si="14"/>
        <v>3</v>
      </c>
      <c r="T23" s="29">
        <f t="shared" si="14"/>
        <v>6.6315789473684212</v>
      </c>
      <c r="U23" s="29">
        <f t="shared" si="14"/>
        <v>8.3105263157894758</v>
      </c>
      <c r="V23" s="29">
        <f t="shared" si="14"/>
        <v>7.4210526315789478</v>
      </c>
      <c r="W23" s="29">
        <f t="shared" si="14"/>
        <v>3.6368421052631574</v>
      </c>
      <c r="X23" s="29">
        <f t="shared" si="14"/>
        <v>3.7210526315789476</v>
      </c>
      <c r="Y23" s="29">
        <f t="shared" si="14"/>
        <v>3.6578947368421053</v>
      </c>
      <c r="Z23" s="29">
        <f t="shared" si="14"/>
        <v>3.2578947368421054</v>
      </c>
      <c r="AA23" s="29">
        <f t="shared" si="14"/>
        <v>1.7578947368421052</v>
      </c>
      <c r="AB23" s="29">
        <f t="shared" si="14"/>
        <v>4.8263157894736839</v>
      </c>
      <c r="AC23" s="29">
        <f t="shared" si="14"/>
        <v>2.6315789473684212</v>
      </c>
      <c r="AD23" s="29">
        <f t="shared" si="14"/>
        <v>2.8421052631578947</v>
      </c>
      <c r="AE23" s="29">
        <f t="shared" si="14"/>
        <v>4.7105263157894735</v>
      </c>
      <c r="AF23" s="29">
        <f t="shared" si="14"/>
        <v>81.6111111111111</v>
      </c>
    </row>
    <row r="25" spans="1:41">
      <c r="D25" s="23" t="s">
        <v>191</v>
      </c>
    </row>
  </sheetData>
  <phoneticPr fontId="3"/>
  <pageMargins left="0.41" right="0.55000000000000004" top="0.98425196850393704" bottom="0.98425196850393704" header="0.51181102362204722" footer="0.51181102362204722"/>
  <pageSetup paperSize="9" scale="57" orientation="landscape" r:id="rId1"/>
  <headerFooter alignWithMargins="0">
    <oddHeader>&amp;R&amp;D &amp;T</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AO26"/>
  <sheetViews>
    <sheetView workbookViewId="0">
      <pane xSplit="2" ySplit="1" topLeftCell="C14" activePane="bottomRight" state="frozen"/>
      <selection pane="topRight" activeCell="C1" sqref="C1"/>
      <selection pane="bottomLeft" activeCell="A2" sqref="A2"/>
      <selection pane="bottomRight" activeCell="B3" sqref="B3"/>
    </sheetView>
  </sheetViews>
  <sheetFormatPr defaultRowHeight="13.5"/>
  <cols>
    <col min="1" max="1" width="3.75" style="22" bestFit="1" customWidth="1"/>
    <col min="2" max="2" width="11.375" style="22" bestFit="1" customWidth="1"/>
    <col min="3" max="3" width="4.75" style="22" customWidth="1"/>
    <col min="4" max="6" width="8.25" style="24" customWidth="1"/>
    <col min="7" max="7" width="7.5" style="25" customWidth="1"/>
    <col min="8" max="8" width="7" style="25" customWidth="1"/>
    <col min="9" max="9" width="7.5" style="27" customWidth="1"/>
    <col min="10" max="11" width="7.25" style="24" customWidth="1"/>
    <col min="12" max="12" width="8.125" style="24" customWidth="1"/>
    <col min="13" max="14" width="6.875" style="25" customWidth="1"/>
    <col min="15" max="15" width="7.75" style="27" customWidth="1"/>
    <col min="16" max="19" width="7.125" style="31" customWidth="1"/>
    <col min="20" max="31" width="7.125" style="39" customWidth="1"/>
    <col min="32" max="32" width="6.75" style="31" customWidth="1"/>
    <col min="33" max="33" width="6.75" style="76" customWidth="1"/>
    <col min="35" max="35" width="9" style="76"/>
    <col min="36" max="36" width="9" style="31"/>
    <col min="37" max="41" width="9" style="84"/>
  </cols>
  <sheetData>
    <row r="1" spans="1:41" s="6" customFormat="1">
      <c r="A1" s="1" t="s">
        <v>87</v>
      </c>
      <c r="B1" s="1" t="s">
        <v>88</v>
      </c>
      <c r="C1" s="1" t="s">
        <v>195</v>
      </c>
      <c r="D1" s="2" t="s">
        <v>196</v>
      </c>
      <c r="E1" s="2" t="s">
        <v>197</v>
      </c>
      <c r="F1" s="2" t="s">
        <v>198</v>
      </c>
      <c r="G1" s="3" t="s">
        <v>91</v>
      </c>
      <c r="H1" s="3" t="s">
        <v>92</v>
      </c>
      <c r="I1" s="3" t="s">
        <v>112</v>
      </c>
      <c r="J1" s="2" t="s">
        <v>109</v>
      </c>
      <c r="K1" s="2" t="s">
        <v>110</v>
      </c>
      <c r="L1" s="2" t="s">
        <v>111</v>
      </c>
      <c r="M1" s="3" t="s">
        <v>93</v>
      </c>
      <c r="N1" s="3" t="s">
        <v>94</v>
      </c>
      <c r="O1" s="3" t="s">
        <v>113</v>
      </c>
      <c r="P1" s="5" t="s">
        <v>95</v>
      </c>
      <c r="Q1" s="5" t="s">
        <v>96</v>
      </c>
      <c r="R1" s="5" t="s">
        <v>0</v>
      </c>
      <c r="S1" s="5" t="s">
        <v>1</v>
      </c>
      <c r="T1" s="35" t="s">
        <v>97</v>
      </c>
      <c r="U1" s="35" t="s">
        <v>2</v>
      </c>
      <c r="V1" s="35" t="s">
        <v>3</v>
      </c>
      <c r="W1" s="35" t="s">
        <v>4</v>
      </c>
      <c r="X1" s="35" t="s">
        <v>214</v>
      </c>
      <c r="Y1" s="35" t="s">
        <v>5</v>
      </c>
      <c r="Z1" s="35" t="s">
        <v>6</v>
      </c>
      <c r="AA1" s="35" t="s">
        <v>7</v>
      </c>
      <c r="AB1" s="35" t="s">
        <v>8</v>
      </c>
      <c r="AC1" s="35" t="s">
        <v>9</v>
      </c>
      <c r="AD1" s="35" t="s">
        <v>10</v>
      </c>
      <c r="AE1" s="35" t="s">
        <v>11</v>
      </c>
      <c r="AF1" s="5" t="s">
        <v>12</v>
      </c>
      <c r="AG1" s="4" t="s">
        <v>98</v>
      </c>
      <c r="AH1" s="6" t="s">
        <v>105</v>
      </c>
      <c r="AI1" s="4" t="s">
        <v>190</v>
      </c>
      <c r="AJ1" s="5" t="s">
        <v>156</v>
      </c>
      <c r="AK1" s="85" t="s">
        <v>142</v>
      </c>
      <c r="AL1" s="85" t="s">
        <v>141</v>
      </c>
      <c r="AM1" s="85" t="s">
        <v>153</v>
      </c>
      <c r="AN1" s="85" t="s">
        <v>154</v>
      </c>
      <c r="AO1" s="85" t="s">
        <v>161</v>
      </c>
    </row>
    <row r="2" spans="1:41" s="13" customFormat="1">
      <c r="A2" s="7"/>
      <c r="B2" s="7" t="s">
        <v>562</v>
      </c>
      <c r="C2" s="7"/>
      <c r="D2" s="9"/>
      <c r="E2" s="9"/>
      <c r="F2" s="9"/>
      <c r="G2" s="10"/>
      <c r="H2" s="10"/>
      <c r="I2" s="11"/>
      <c r="J2" s="9"/>
      <c r="K2" s="9"/>
      <c r="L2" s="9"/>
      <c r="M2" s="10"/>
      <c r="N2" s="10"/>
      <c r="O2" s="11"/>
      <c r="P2" s="12">
        <v>15</v>
      </c>
      <c r="Q2" s="12">
        <v>15</v>
      </c>
      <c r="R2" s="12">
        <v>5</v>
      </c>
      <c r="S2" s="12">
        <v>5</v>
      </c>
      <c r="T2" s="36">
        <v>10</v>
      </c>
      <c r="U2" s="36">
        <v>8</v>
      </c>
      <c r="V2" s="36">
        <v>4</v>
      </c>
      <c r="W2" s="36">
        <v>5</v>
      </c>
      <c r="X2" s="36">
        <v>2</v>
      </c>
      <c r="Y2" s="36">
        <v>7</v>
      </c>
      <c r="Z2" s="36">
        <v>4</v>
      </c>
      <c r="AA2" s="36">
        <v>2</v>
      </c>
      <c r="AB2" s="36">
        <v>6</v>
      </c>
      <c r="AC2" s="36">
        <v>4</v>
      </c>
      <c r="AD2" s="36">
        <v>3</v>
      </c>
      <c r="AE2" s="36">
        <v>5</v>
      </c>
      <c r="AF2" s="12">
        <f t="shared" ref="AF2:AF22" si="0">SUM(P2:AE2)</f>
        <v>100</v>
      </c>
      <c r="AG2" s="71"/>
      <c r="AI2" s="86"/>
      <c r="AJ2" s="32"/>
      <c r="AK2" s="87"/>
      <c r="AL2" s="88"/>
      <c r="AM2" s="88"/>
      <c r="AN2" s="88"/>
      <c r="AO2" s="88"/>
    </row>
    <row r="3" spans="1:41">
      <c r="A3" s="14" t="s">
        <v>162</v>
      </c>
      <c r="B3" s="14" t="s">
        <v>138</v>
      </c>
      <c r="C3" s="14"/>
      <c r="D3" s="16"/>
      <c r="E3" s="16"/>
      <c r="F3" s="16"/>
      <c r="G3" s="17">
        <f>E3-D3</f>
        <v>0</v>
      </c>
      <c r="H3" s="17">
        <f t="shared" ref="H3:H19" si="1">G3-MIN($G$3:$G$19)</f>
        <v>0</v>
      </c>
      <c r="I3" s="18">
        <v>9.7222222222222224E-2</v>
      </c>
      <c r="J3" s="16"/>
      <c r="K3" s="16"/>
      <c r="L3" s="16"/>
      <c r="M3" s="17">
        <f>K3-J3</f>
        <v>0</v>
      </c>
      <c r="N3" s="17">
        <f t="shared" ref="N3:N19" si="2">M3-MIN($M$3:$M$19)</f>
        <v>0</v>
      </c>
      <c r="O3" s="18">
        <v>0.14583333333333334</v>
      </c>
      <c r="P3" s="19">
        <f>MAX(P$2-ROUND(H3*60*24*0.5,1),0)</f>
        <v>15</v>
      </c>
      <c r="Q3" s="19">
        <f>MAX(Q$2-ROUND(N3*60*24*0.5,1),0)</f>
        <v>15</v>
      </c>
      <c r="R3" s="19">
        <f>MAX(MIN($R$2+ROUND((I3-(F3-D3))*60*24*0.25,1),$R$2),0)</f>
        <v>5</v>
      </c>
      <c r="S3" s="19">
        <f t="shared" ref="S3:S24" si="3">MAX(MIN($S$2+ROUND((O3-(L3-J3))*60*24*0.25,1),$S$2),0)</f>
        <v>5</v>
      </c>
      <c r="T3" s="37"/>
      <c r="U3" s="37"/>
      <c r="V3" s="37"/>
      <c r="W3" s="37"/>
      <c r="X3" s="37"/>
      <c r="Y3" s="37"/>
      <c r="Z3" s="37"/>
      <c r="AA3" s="37"/>
      <c r="AB3" s="37"/>
      <c r="AC3" s="37"/>
      <c r="AD3" s="37"/>
      <c r="AE3" s="37"/>
      <c r="AF3" s="19">
        <f t="shared" si="0"/>
        <v>40</v>
      </c>
      <c r="AG3" s="72">
        <f t="shared" ref="AG3:AG8" si="4">RANK(AF3,$AF$3:$AF$8)</f>
        <v>1</v>
      </c>
      <c r="AI3" s="72">
        <f t="shared" ref="AI3:AI8" si="5">RANK(G3,$G$3:$G$8,1)</f>
        <v>1</v>
      </c>
      <c r="AJ3" s="89">
        <f t="shared" ref="AJ3:AJ24" si="6">SUM(AK3:AO3)</f>
        <v>0</v>
      </c>
      <c r="AK3" s="90"/>
      <c r="AL3" s="90"/>
      <c r="AM3" s="90"/>
      <c r="AN3" s="90"/>
      <c r="AO3" s="90"/>
    </row>
    <row r="4" spans="1:41">
      <c r="A4" s="14" t="s">
        <v>168</v>
      </c>
      <c r="B4" s="14" t="s">
        <v>126</v>
      </c>
      <c r="C4" s="14"/>
      <c r="D4" s="16"/>
      <c r="E4" s="16"/>
      <c r="F4" s="16"/>
      <c r="G4" s="17">
        <f>E4-D4</f>
        <v>0</v>
      </c>
      <c r="H4" s="17">
        <f t="shared" si="1"/>
        <v>0</v>
      </c>
      <c r="I4" s="18">
        <v>9.7222222222222224E-2</v>
      </c>
      <c r="J4" s="16"/>
      <c r="K4" s="16"/>
      <c r="L4" s="16"/>
      <c r="M4" s="17">
        <f>K4-J4</f>
        <v>0</v>
      </c>
      <c r="N4" s="17">
        <f t="shared" si="2"/>
        <v>0</v>
      </c>
      <c r="O4" s="18">
        <v>0.14583333333333334</v>
      </c>
      <c r="P4" s="19">
        <f>MAX(P$2-ROUND(H4*60*24*0.5,1),0)</f>
        <v>15</v>
      </c>
      <c r="Q4" s="19">
        <f>MAX(Q$2-ROUND(N4*60*24*0.5,1),0)</f>
        <v>15</v>
      </c>
      <c r="R4" s="19">
        <f>MAX(MIN($R$2+ROUND((I4-(F4-D4))*60*24*0.25,1),$R$2),0)</f>
        <v>5</v>
      </c>
      <c r="S4" s="19">
        <f>MAX(MIN($S$2+ROUND((O4-(L4-J4))*60*24*0.25,1),$S$2),0)</f>
        <v>5</v>
      </c>
      <c r="T4" s="37"/>
      <c r="U4" s="37"/>
      <c r="V4" s="37"/>
      <c r="W4" s="37"/>
      <c r="X4" s="37"/>
      <c r="Y4" s="37"/>
      <c r="Z4" s="37"/>
      <c r="AA4" s="37"/>
      <c r="AB4" s="37"/>
      <c r="AC4" s="37"/>
      <c r="AD4" s="37"/>
      <c r="AE4" s="37"/>
      <c r="AF4" s="19">
        <f>SUM(P4:AE4)</f>
        <v>40</v>
      </c>
      <c r="AG4" s="72">
        <f t="shared" si="4"/>
        <v>1</v>
      </c>
      <c r="AI4" s="72">
        <f t="shared" si="5"/>
        <v>1</v>
      </c>
      <c r="AJ4" s="89">
        <f>SUM(AK4:AO4)</f>
        <v>0</v>
      </c>
      <c r="AK4" s="90"/>
      <c r="AL4" s="90"/>
      <c r="AM4" s="90"/>
      <c r="AN4" s="90"/>
      <c r="AO4" s="90"/>
    </row>
    <row r="5" spans="1:41">
      <c r="A5" s="14" t="s">
        <v>167</v>
      </c>
      <c r="B5" s="14" t="s">
        <v>127</v>
      </c>
      <c r="C5" s="14"/>
      <c r="D5" s="16"/>
      <c r="E5" s="16"/>
      <c r="F5" s="16"/>
      <c r="G5" s="17">
        <f>E5-D5</f>
        <v>0</v>
      </c>
      <c r="H5" s="17">
        <f t="shared" si="1"/>
        <v>0</v>
      </c>
      <c r="I5" s="18">
        <v>9.7222222222222224E-2</v>
      </c>
      <c r="J5" s="16"/>
      <c r="K5" s="16"/>
      <c r="L5" s="16"/>
      <c r="M5" s="17">
        <f>K5-J5</f>
        <v>0</v>
      </c>
      <c r="N5" s="17">
        <f t="shared" si="2"/>
        <v>0</v>
      </c>
      <c r="O5" s="18">
        <v>0.14583333333333334</v>
      </c>
      <c r="P5" s="19">
        <f>MAX(P$2-ROUND(H5*60*24*0.5,1),0)</f>
        <v>15</v>
      </c>
      <c r="Q5" s="19">
        <f>MAX(Q$2-ROUND(N5*60*24*0.5,1),0)</f>
        <v>15</v>
      </c>
      <c r="R5" s="19">
        <f>MAX(MIN($R$2+ROUND((I5-(F5-D5))*60*24*0.25,1),$R$2),0)</f>
        <v>5</v>
      </c>
      <c r="S5" s="19">
        <f>MAX(MIN($S$2+ROUND((O5-(L5-J5))*60*24*0.25,1),$S$2),0)</f>
        <v>5</v>
      </c>
      <c r="T5" s="37"/>
      <c r="U5" s="37"/>
      <c r="V5" s="37"/>
      <c r="W5" s="37"/>
      <c r="X5" s="37"/>
      <c r="Y5" s="37"/>
      <c r="Z5" s="37"/>
      <c r="AA5" s="37"/>
      <c r="AB5" s="37"/>
      <c r="AC5" s="37"/>
      <c r="AD5" s="37"/>
      <c r="AE5" s="37"/>
      <c r="AF5" s="19">
        <f>SUM(P5:AE5)</f>
        <v>40</v>
      </c>
      <c r="AG5" s="72">
        <f t="shared" si="4"/>
        <v>1</v>
      </c>
      <c r="AI5" s="72">
        <f t="shared" si="5"/>
        <v>1</v>
      </c>
      <c r="AJ5" s="89">
        <f>SUM(AK5:AO5)</f>
        <v>0</v>
      </c>
      <c r="AK5" s="90"/>
      <c r="AL5" s="90"/>
      <c r="AM5" s="90"/>
      <c r="AN5" s="90"/>
      <c r="AO5" s="90"/>
    </row>
    <row r="6" spans="1:41">
      <c r="A6" s="14" t="s">
        <v>164</v>
      </c>
      <c r="B6" s="14" t="s">
        <v>125</v>
      </c>
      <c r="C6" s="14"/>
      <c r="D6" s="16"/>
      <c r="E6" s="16"/>
      <c r="F6" s="16"/>
      <c r="G6" s="17">
        <f>E6-D6</f>
        <v>0</v>
      </c>
      <c r="H6" s="17">
        <f t="shared" si="1"/>
        <v>0</v>
      </c>
      <c r="I6" s="18">
        <v>9.7222222222222224E-2</v>
      </c>
      <c r="J6" s="16"/>
      <c r="K6" s="16"/>
      <c r="L6" s="16"/>
      <c r="M6" s="17">
        <f>K6-J6</f>
        <v>0</v>
      </c>
      <c r="N6" s="17">
        <f t="shared" si="2"/>
        <v>0</v>
      </c>
      <c r="O6" s="18">
        <v>0.14583333333333334</v>
      </c>
      <c r="P6" s="19">
        <f>MAX(P$2-ROUND(H6*60*24*0.5,1),0)</f>
        <v>15</v>
      </c>
      <c r="Q6" s="19">
        <f>MAX(Q$2-ROUND(N6*60*24*0.5,1),0)</f>
        <v>15</v>
      </c>
      <c r="R6" s="19">
        <f>MAX(MIN($R$2+ROUND((I6-(F6-D6))*60*24*0.25,1),$R$2),0)</f>
        <v>5</v>
      </c>
      <c r="S6" s="19">
        <f>MAX(MIN($S$2+ROUND((O6-(L6-J6))*60*24*0.25,1),$S$2),0)</f>
        <v>5</v>
      </c>
      <c r="T6" s="37"/>
      <c r="U6" s="37"/>
      <c r="V6" s="37"/>
      <c r="W6" s="37"/>
      <c r="X6" s="37"/>
      <c r="Y6" s="37"/>
      <c r="Z6" s="37"/>
      <c r="AA6" s="37"/>
      <c r="AB6" s="37"/>
      <c r="AC6" s="37"/>
      <c r="AD6" s="37"/>
      <c r="AE6" s="37"/>
      <c r="AF6" s="19">
        <f>SUM(P6:AE6)</f>
        <v>40</v>
      </c>
      <c r="AG6" s="72">
        <f t="shared" si="4"/>
        <v>1</v>
      </c>
      <c r="AI6" s="72">
        <f t="shared" si="5"/>
        <v>1</v>
      </c>
      <c r="AJ6" s="89">
        <f>SUM(AK6:AO6)</f>
        <v>0</v>
      </c>
      <c r="AK6" s="90"/>
      <c r="AL6" s="90"/>
      <c r="AM6" s="90"/>
      <c r="AN6" s="90"/>
      <c r="AO6" s="90"/>
    </row>
    <row r="7" spans="1:41">
      <c r="A7" s="14" t="s">
        <v>199</v>
      </c>
      <c r="B7" s="14" t="s">
        <v>123</v>
      </c>
      <c r="C7" s="14"/>
      <c r="D7" s="16"/>
      <c r="E7" s="16"/>
      <c r="F7" s="16"/>
      <c r="G7" s="17">
        <f t="shared" ref="G7:G24" si="7">E7-D7</f>
        <v>0</v>
      </c>
      <c r="H7" s="17">
        <f t="shared" si="1"/>
        <v>0</v>
      </c>
      <c r="I7" s="18">
        <v>9.7222222222222224E-2</v>
      </c>
      <c r="J7" s="16"/>
      <c r="K7" s="16"/>
      <c r="L7" s="16"/>
      <c r="M7" s="17">
        <f t="shared" ref="M7:M24" si="8">K7-J7</f>
        <v>0</v>
      </c>
      <c r="N7" s="17">
        <f t="shared" si="2"/>
        <v>0</v>
      </c>
      <c r="O7" s="18">
        <v>0.14583333333333334</v>
      </c>
      <c r="P7" s="19">
        <f t="shared" ref="P7:P24" si="9">MAX(P$2-ROUND(H7*60*24*0.5,1),0)</f>
        <v>15</v>
      </c>
      <c r="Q7" s="19">
        <f t="shared" ref="Q7:Q24" si="10">MAX(Q$2-ROUND(N7*60*24*0.5,1),0)</f>
        <v>15</v>
      </c>
      <c r="R7" s="19">
        <f t="shared" ref="R7:R24" si="11">MAX(MIN($R$2+ROUND((I7-(F7-D7))*60*24*0.25,1),$R$2),0)</f>
        <v>5</v>
      </c>
      <c r="S7" s="19">
        <f t="shared" si="3"/>
        <v>5</v>
      </c>
      <c r="T7" s="37"/>
      <c r="U7" s="37"/>
      <c r="V7" s="37"/>
      <c r="W7" s="37"/>
      <c r="X7" s="37"/>
      <c r="Y7" s="37"/>
      <c r="Z7" s="37"/>
      <c r="AA7" s="37"/>
      <c r="AB7" s="37"/>
      <c r="AC7" s="37"/>
      <c r="AD7" s="37"/>
      <c r="AE7" s="37"/>
      <c r="AF7" s="19">
        <f t="shared" si="0"/>
        <v>40</v>
      </c>
      <c r="AG7" s="72">
        <f t="shared" si="4"/>
        <v>1</v>
      </c>
      <c r="AI7" s="72">
        <f t="shared" si="5"/>
        <v>1</v>
      </c>
      <c r="AJ7" s="89">
        <f t="shared" si="6"/>
        <v>0</v>
      </c>
      <c r="AK7" s="90"/>
      <c r="AL7" s="90"/>
      <c r="AM7" s="90"/>
      <c r="AN7" s="90"/>
      <c r="AO7" s="90"/>
    </row>
    <row r="8" spans="1:41" s="60" customFormat="1" ht="14.25" thickBot="1">
      <c r="A8" s="52" t="s">
        <v>163</v>
      </c>
      <c r="B8" s="52" t="s">
        <v>182</v>
      </c>
      <c r="C8" s="52"/>
      <c r="D8" s="54"/>
      <c r="E8" s="54"/>
      <c r="F8" s="54"/>
      <c r="G8" s="55">
        <f t="shared" si="7"/>
        <v>0</v>
      </c>
      <c r="H8" s="55">
        <f t="shared" si="1"/>
        <v>0</v>
      </c>
      <c r="I8" s="56">
        <v>9.7222222222222224E-2</v>
      </c>
      <c r="J8" s="54"/>
      <c r="K8" s="54"/>
      <c r="L8" s="54"/>
      <c r="M8" s="55">
        <f t="shared" si="8"/>
        <v>0</v>
      </c>
      <c r="N8" s="55">
        <f t="shared" si="2"/>
        <v>0</v>
      </c>
      <c r="O8" s="56">
        <v>0.14583333333333334</v>
      </c>
      <c r="P8" s="57">
        <f t="shared" si="9"/>
        <v>15</v>
      </c>
      <c r="Q8" s="57">
        <f t="shared" si="10"/>
        <v>15</v>
      </c>
      <c r="R8" s="57">
        <f t="shared" si="11"/>
        <v>5</v>
      </c>
      <c r="S8" s="57">
        <f t="shared" si="3"/>
        <v>5</v>
      </c>
      <c r="T8" s="58"/>
      <c r="U8" s="58"/>
      <c r="V8" s="58"/>
      <c r="W8" s="58"/>
      <c r="X8" s="58"/>
      <c r="Y8" s="58"/>
      <c r="Z8" s="58"/>
      <c r="AA8" s="58"/>
      <c r="AB8" s="58"/>
      <c r="AC8" s="58"/>
      <c r="AD8" s="58"/>
      <c r="AE8" s="58"/>
      <c r="AF8" s="57">
        <f t="shared" si="0"/>
        <v>40</v>
      </c>
      <c r="AG8" s="73">
        <f t="shared" si="4"/>
        <v>1</v>
      </c>
      <c r="AI8" s="73">
        <f t="shared" si="5"/>
        <v>1</v>
      </c>
      <c r="AJ8" s="99">
        <f t="shared" si="6"/>
        <v>0</v>
      </c>
      <c r="AK8" s="100"/>
      <c r="AL8" s="100"/>
      <c r="AM8" s="100"/>
      <c r="AN8" s="100"/>
      <c r="AO8" s="100"/>
    </row>
    <row r="9" spans="1:41" ht="14.25" thickTop="1">
      <c r="A9" s="44" t="s">
        <v>172</v>
      </c>
      <c r="B9" s="44" t="s">
        <v>185</v>
      </c>
      <c r="C9" s="44"/>
      <c r="D9" s="46"/>
      <c r="E9" s="46"/>
      <c r="F9" s="46"/>
      <c r="G9" s="47">
        <f t="shared" si="7"/>
        <v>0</v>
      </c>
      <c r="H9" s="47">
        <f t="shared" si="1"/>
        <v>0</v>
      </c>
      <c r="I9" s="48">
        <v>9.7222222222222224E-2</v>
      </c>
      <c r="J9" s="46"/>
      <c r="K9" s="46"/>
      <c r="L9" s="46"/>
      <c r="M9" s="47">
        <f t="shared" si="8"/>
        <v>0</v>
      </c>
      <c r="N9" s="47">
        <f t="shared" si="2"/>
        <v>0</v>
      </c>
      <c r="O9" s="48">
        <v>0.14583333333333334</v>
      </c>
      <c r="P9" s="49">
        <f t="shared" si="9"/>
        <v>15</v>
      </c>
      <c r="Q9" s="49">
        <f t="shared" si="10"/>
        <v>15</v>
      </c>
      <c r="R9" s="49">
        <f t="shared" si="11"/>
        <v>5</v>
      </c>
      <c r="S9" s="49">
        <f t="shared" si="3"/>
        <v>5</v>
      </c>
      <c r="T9" s="50"/>
      <c r="U9" s="50"/>
      <c r="V9" s="50"/>
      <c r="W9" s="50"/>
      <c r="X9" s="50"/>
      <c r="Y9" s="50"/>
      <c r="Z9" s="50"/>
      <c r="AA9" s="50"/>
      <c r="AB9" s="50"/>
      <c r="AC9" s="50"/>
      <c r="AD9" s="50"/>
      <c r="AE9" s="50"/>
      <c r="AF9" s="49">
        <f t="shared" si="0"/>
        <v>40</v>
      </c>
      <c r="AG9" s="74">
        <f t="shared" ref="AG9:AG19" si="12">RANK(AF9,$AF$9:$AF$19)</f>
        <v>1</v>
      </c>
      <c r="AI9" s="74">
        <f t="shared" ref="AI9:AI19" si="13">RANK(G9,$G$9:$G$19,1)</f>
        <v>1</v>
      </c>
      <c r="AJ9" s="94">
        <f t="shared" si="6"/>
        <v>0</v>
      </c>
      <c r="AK9" s="95"/>
      <c r="AL9" s="95"/>
      <c r="AM9" s="95"/>
      <c r="AN9" s="95"/>
      <c r="AO9" s="95"/>
    </row>
    <row r="10" spans="1:41">
      <c r="A10" s="14" t="s">
        <v>170</v>
      </c>
      <c r="B10" s="14" t="s">
        <v>203</v>
      </c>
      <c r="C10" s="14"/>
      <c r="D10" s="16"/>
      <c r="E10" s="16"/>
      <c r="F10" s="16"/>
      <c r="G10" s="17">
        <f>E10-D10</f>
        <v>0</v>
      </c>
      <c r="H10" s="17">
        <f t="shared" si="1"/>
        <v>0</v>
      </c>
      <c r="I10" s="18">
        <v>9.7222222222222224E-2</v>
      </c>
      <c r="J10" s="16"/>
      <c r="K10" s="16"/>
      <c r="L10" s="16"/>
      <c r="M10" s="17">
        <f>K10-J10</f>
        <v>0</v>
      </c>
      <c r="N10" s="17">
        <f t="shared" si="2"/>
        <v>0</v>
      </c>
      <c r="O10" s="18">
        <v>0.14583333333333334</v>
      </c>
      <c r="P10" s="19">
        <f>MAX(P$2-ROUND(H10*60*24*0.5,1),0)</f>
        <v>15</v>
      </c>
      <c r="Q10" s="19">
        <f>MAX(Q$2-ROUND(N10*60*24*0.5,1),0)</f>
        <v>15</v>
      </c>
      <c r="R10" s="19">
        <f>MAX(MIN($R$2+ROUND((I10-(F10-D10))*60*24*0.25,1),$R$2),0)</f>
        <v>5</v>
      </c>
      <c r="S10" s="19">
        <f>MAX(MIN($S$2+ROUND((O10-(L10-J10))*60*24*0.25,1),$S$2),0)</f>
        <v>5</v>
      </c>
      <c r="T10" s="37"/>
      <c r="U10" s="37"/>
      <c r="V10" s="37"/>
      <c r="W10" s="37"/>
      <c r="X10" s="37"/>
      <c r="Y10" s="37"/>
      <c r="Z10" s="37"/>
      <c r="AA10" s="37"/>
      <c r="AB10" s="37"/>
      <c r="AC10" s="37"/>
      <c r="AD10" s="37"/>
      <c r="AE10" s="37"/>
      <c r="AF10" s="19">
        <f>SUM(P10:AE10)</f>
        <v>40</v>
      </c>
      <c r="AG10" s="72">
        <f t="shared" si="12"/>
        <v>1</v>
      </c>
      <c r="AI10" s="72">
        <f t="shared" si="13"/>
        <v>1</v>
      </c>
      <c r="AJ10" s="89">
        <f>SUM(AK10:AO10)</f>
        <v>0</v>
      </c>
      <c r="AK10" s="90"/>
      <c r="AL10" s="90"/>
      <c r="AM10" s="90"/>
      <c r="AN10" s="90"/>
      <c r="AO10" s="90"/>
    </row>
    <row r="11" spans="1:41">
      <c r="A11" s="14" t="s">
        <v>170</v>
      </c>
      <c r="B11" s="14" t="s">
        <v>204</v>
      </c>
      <c r="C11" s="14"/>
      <c r="D11" s="16"/>
      <c r="E11" s="16"/>
      <c r="F11" s="16"/>
      <c r="G11" s="17">
        <f>E11-D11</f>
        <v>0</v>
      </c>
      <c r="H11" s="17">
        <f t="shared" si="1"/>
        <v>0</v>
      </c>
      <c r="I11" s="18">
        <v>9.7222222222222224E-2</v>
      </c>
      <c r="J11" s="16"/>
      <c r="K11" s="16"/>
      <c r="L11" s="16"/>
      <c r="M11" s="17">
        <f>K11-J11</f>
        <v>0</v>
      </c>
      <c r="N11" s="17">
        <f t="shared" si="2"/>
        <v>0</v>
      </c>
      <c r="O11" s="18">
        <v>0.14583333333333334</v>
      </c>
      <c r="P11" s="19">
        <f>MAX(P$2-ROUND(H11*60*24*0.5,1),0)</f>
        <v>15</v>
      </c>
      <c r="Q11" s="19">
        <f>MAX(Q$2-ROUND(N11*60*24*0.5,1),0)</f>
        <v>15</v>
      </c>
      <c r="R11" s="19">
        <f>MAX(MIN($R$2+ROUND((I11-(F11-D11))*60*24*0.25,1),$R$2),0)</f>
        <v>5</v>
      </c>
      <c r="S11" s="19">
        <f>MAX(MIN($S$2+ROUND((O11-(L11-J11))*60*24*0.25,1),$S$2),0)</f>
        <v>5</v>
      </c>
      <c r="T11" s="37"/>
      <c r="U11" s="37"/>
      <c r="V11" s="37"/>
      <c r="W11" s="37"/>
      <c r="X11" s="37"/>
      <c r="Y11" s="37"/>
      <c r="Z11" s="37"/>
      <c r="AA11" s="37"/>
      <c r="AB11" s="37"/>
      <c r="AC11" s="37"/>
      <c r="AD11" s="37"/>
      <c r="AE11" s="37"/>
      <c r="AF11" s="19">
        <f>SUM(P11:AE11)</f>
        <v>40</v>
      </c>
      <c r="AG11" s="72">
        <f t="shared" si="12"/>
        <v>1</v>
      </c>
      <c r="AI11" s="72">
        <f t="shared" si="13"/>
        <v>1</v>
      </c>
      <c r="AJ11" s="89">
        <f>SUM(AK11:AO11)</f>
        <v>0</v>
      </c>
      <c r="AK11" s="90"/>
      <c r="AL11" s="90"/>
      <c r="AM11" s="90"/>
      <c r="AN11" s="90"/>
      <c r="AO11" s="90"/>
    </row>
    <row r="12" spans="1:41">
      <c r="A12" s="14" t="s">
        <v>171</v>
      </c>
      <c r="B12" s="14" t="s">
        <v>205</v>
      </c>
      <c r="C12" s="14"/>
      <c r="D12" s="16"/>
      <c r="E12" s="16"/>
      <c r="F12" s="16"/>
      <c r="G12" s="17">
        <f>E12-D12</f>
        <v>0</v>
      </c>
      <c r="H12" s="17">
        <f t="shared" si="1"/>
        <v>0</v>
      </c>
      <c r="I12" s="18">
        <v>9.7222222222222224E-2</v>
      </c>
      <c r="J12" s="16"/>
      <c r="K12" s="16"/>
      <c r="L12" s="16"/>
      <c r="M12" s="17">
        <f>K12-J12</f>
        <v>0</v>
      </c>
      <c r="N12" s="17">
        <f t="shared" si="2"/>
        <v>0</v>
      </c>
      <c r="O12" s="18">
        <v>0.14583333333333334</v>
      </c>
      <c r="P12" s="19">
        <f>MAX(P$2-ROUND(H12*60*24*0.5,1),0)</f>
        <v>15</v>
      </c>
      <c r="Q12" s="19">
        <f>MAX(Q$2-ROUND(N12*60*24*0.5,1),0)</f>
        <v>15</v>
      </c>
      <c r="R12" s="19">
        <f>MAX(MIN($R$2+ROUND((I12-(F12-D12))*60*24*0.25,1),$R$2),0)</f>
        <v>5</v>
      </c>
      <c r="S12" s="19">
        <f>MAX(MIN($S$2+ROUND((O12-(L12-J12))*60*24*0.25,1),$S$2),0)</f>
        <v>5</v>
      </c>
      <c r="T12" s="37"/>
      <c r="U12" s="37"/>
      <c r="V12" s="37"/>
      <c r="W12" s="37"/>
      <c r="X12" s="37"/>
      <c r="Y12" s="37"/>
      <c r="Z12" s="37"/>
      <c r="AA12" s="37"/>
      <c r="AB12" s="37"/>
      <c r="AC12" s="37"/>
      <c r="AD12" s="37"/>
      <c r="AE12" s="37"/>
      <c r="AF12" s="19">
        <f>SUM(P12:AE12)</f>
        <v>40</v>
      </c>
      <c r="AG12" s="72">
        <f t="shared" si="12"/>
        <v>1</v>
      </c>
      <c r="AI12" s="72">
        <f t="shared" si="13"/>
        <v>1</v>
      </c>
      <c r="AJ12" s="89">
        <f>SUM(AK12:AO12)</f>
        <v>0</v>
      </c>
      <c r="AK12" s="90"/>
      <c r="AL12" s="90"/>
      <c r="AM12" s="90"/>
      <c r="AN12" s="90"/>
      <c r="AO12" s="90"/>
    </row>
    <row r="13" spans="1:41">
      <c r="A13" s="14" t="s">
        <v>170</v>
      </c>
      <c r="B13" s="14" t="s">
        <v>206</v>
      </c>
      <c r="C13" s="14"/>
      <c r="D13" s="16"/>
      <c r="E13" s="16"/>
      <c r="F13" s="16"/>
      <c r="G13" s="17">
        <f>E13-D13</f>
        <v>0</v>
      </c>
      <c r="H13" s="17">
        <f t="shared" si="1"/>
        <v>0</v>
      </c>
      <c r="I13" s="18">
        <v>9.7222222222222224E-2</v>
      </c>
      <c r="J13" s="16"/>
      <c r="K13" s="16"/>
      <c r="L13" s="16"/>
      <c r="M13" s="17">
        <f>K13-J13</f>
        <v>0</v>
      </c>
      <c r="N13" s="17">
        <f t="shared" si="2"/>
        <v>0</v>
      </c>
      <c r="O13" s="18">
        <v>0.14583333333333334</v>
      </c>
      <c r="P13" s="19">
        <f>MAX(P$2-ROUND(H13*60*24*0.5,1),0)</f>
        <v>15</v>
      </c>
      <c r="Q13" s="19">
        <f>MAX(Q$2-ROUND(N13*60*24*0.5,1),0)</f>
        <v>15</v>
      </c>
      <c r="R13" s="19">
        <f>MAX(MIN($R$2+ROUND((I13-(F13-D13))*60*24*0.25,1),$R$2),0)</f>
        <v>5</v>
      </c>
      <c r="S13" s="19">
        <f>MAX(MIN($S$2+ROUND((O13-(L13-J13))*60*24*0.25,1),$S$2),0)</f>
        <v>5</v>
      </c>
      <c r="T13" s="37"/>
      <c r="U13" s="37"/>
      <c r="V13" s="37"/>
      <c r="W13" s="37"/>
      <c r="X13" s="37"/>
      <c r="Y13" s="37"/>
      <c r="Z13" s="37"/>
      <c r="AA13" s="37"/>
      <c r="AB13" s="37"/>
      <c r="AC13" s="37"/>
      <c r="AD13" s="37"/>
      <c r="AE13" s="37"/>
      <c r="AF13" s="19">
        <f>SUM(P13:AE13)</f>
        <v>40</v>
      </c>
      <c r="AG13" s="72">
        <f t="shared" si="12"/>
        <v>1</v>
      </c>
      <c r="AI13" s="72">
        <f t="shared" si="13"/>
        <v>1</v>
      </c>
      <c r="AJ13" s="89">
        <f>SUM(AK13:AO13)</f>
        <v>0</v>
      </c>
      <c r="AK13" s="90"/>
      <c r="AL13" s="90"/>
      <c r="AM13" s="90"/>
      <c r="AN13" s="90"/>
      <c r="AO13" s="90"/>
    </row>
    <row r="14" spans="1:41">
      <c r="A14" s="14" t="s">
        <v>170</v>
      </c>
      <c r="B14" s="14" t="s">
        <v>213</v>
      </c>
      <c r="C14" s="14"/>
      <c r="D14" s="16"/>
      <c r="E14" s="16"/>
      <c r="F14" s="16"/>
      <c r="G14" s="17">
        <f>E14-D14</f>
        <v>0</v>
      </c>
      <c r="H14" s="17">
        <f t="shared" si="1"/>
        <v>0</v>
      </c>
      <c r="I14" s="18">
        <v>9.7222222222222224E-2</v>
      </c>
      <c r="J14" s="16"/>
      <c r="K14" s="16"/>
      <c r="L14" s="16"/>
      <c r="M14" s="17">
        <f>K14-J14</f>
        <v>0</v>
      </c>
      <c r="N14" s="17">
        <f t="shared" si="2"/>
        <v>0</v>
      </c>
      <c r="O14" s="18">
        <v>0.14583333333333334</v>
      </c>
      <c r="P14" s="19">
        <f>MAX(P$2-ROUND(H14*60*24*0.5,1),0)</f>
        <v>15</v>
      </c>
      <c r="Q14" s="19">
        <f>MAX(Q$2-ROUND(N14*60*24*0.5,1),0)</f>
        <v>15</v>
      </c>
      <c r="R14" s="19">
        <f>MAX(MIN($R$2+ROUND((I14-(F14-D14))*60*24*0.25,1),$R$2),0)</f>
        <v>5</v>
      </c>
      <c r="S14" s="19">
        <f>MAX(MIN($S$2+ROUND((O14-(L14-J14))*60*24*0.25,1),$S$2),0)</f>
        <v>5</v>
      </c>
      <c r="T14" s="37"/>
      <c r="U14" s="37"/>
      <c r="V14" s="37"/>
      <c r="W14" s="37"/>
      <c r="X14" s="37"/>
      <c r="Y14" s="37"/>
      <c r="Z14" s="37"/>
      <c r="AA14" s="37"/>
      <c r="AB14" s="37"/>
      <c r="AC14" s="37"/>
      <c r="AD14" s="37"/>
      <c r="AE14" s="37"/>
      <c r="AF14" s="19">
        <f>SUM(P14:AE14)</f>
        <v>40</v>
      </c>
      <c r="AG14" s="72">
        <f t="shared" si="12"/>
        <v>1</v>
      </c>
      <c r="AI14" s="72">
        <f t="shared" si="13"/>
        <v>1</v>
      </c>
      <c r="AJ14" s="89">
        <f>SUM(AK14:AO14)</f>
        <v>0</v>
      </c>
      <c r="AK14" s="90"/>
      <c r="AL14" s="90"/>
      <c r="AM14" s="90"/>
      <c r="AN14" s="90"/>
      <c r="AO14" s="90"/>
    </row>
    <row r="15" spans="1:41">
      <c r="A15" s="44" t="s">
        <v>170</v>
      </c>
      <c r="B15" s="44" t="s">
        <v>184</v>
      </c>
      <c r="C15" s="14"/>
      <c r="D15" s="16"/>
      <c r="E15" s="46"/>
      <c r="F15" s="46"/>
      <c r="G15" s="47">
        <f t="shared" si="7"/>
        <v>0</v>
      </c>
      <c r="H15" s="17">
        <f t="shared" si="1"/>
        <v>0</v>
      </c>
      <c r="I15" s="48">
        <v>9.7222222222222224E-2</v>
      </c>
      <c r="J15" s="46"/>
      <c r="K15" s="46"/>
      <c r="L15" s="46"/>
      <c r="M15" s="47">
        <f t="shared" si="8"/>
        <v>0</v>
      </c>
      <c r="N15" s="47">
        <f t="shared" si="2"/>
        <v>0</v>
      </c>
      <c r="O15" s="48">
        <v>0.14583333333333334</v>
      </c>
      <c r="P15" s="49">
        <f t="shared" si="9"/>
        <v>15</v>
      </c>
      <c r="Q15" s="49">
        <f t="shared" si="10"/>
        <v>15</v>
      </c>
      <c r="R15" s="49">
        <f t="shared" si="11"/>
        <v>5</v>
      </c>
      <c r="S15" s="49">
        <f t="shared" si="3"/>
        <v>5</v>
      </c>
      <c r="T15" s="50"/>
      <c r="U15" s="50"/>
      <c r="V15" s="50"/>
      <c r="W15" s="50"/>
      <c r="X15" s="50"/>
      <c r="Y15" s="50"/>
      <c r="Z15" s="50"/>
      <c r="AA15" s="50"/>
      <c r="AB15" s="50"/>
      <c r="AC15" s="50"/>
      <c r="AD15" s="50"/>
      <c r="AE15" s="50"/>
      <c r="AF15" s="49">
        <f t="shared" si="0"/>
        <v>40</v>
      </c>
      <c r="AG15" s="74">
        <f t="shared" si="12"/>
        <v>1</v>
      </c>
      <c r="AI15" s="72">
        <f t="shared" si="13"/>
        <v>1</v>
      </c>
      <c r="AJ15" s="89">
        <f t="shared" si="6"/>
        <v>0</v>
      </c>
      <c r="AK15" s="90"/>
      <c r="AL15" s="90"/>
      <c r="AM15" s="90"/>
      <c r="AN15" s="90"/>
      <c r="AO15" s="90"/>
    </row>
    <row r="16" spans="1:41">
      <c r="A16" s="14" t="s">
        <v>171</v>
      </c>
      <c r="B16" s="14" t="s">
        <v>208</v>
      </c>
      <c r="C16" s="14"/>
      <c r="D16" s="16"/>
      <c r="E16" s="16"/>
      <c r="F16" s="16"/>
      <c r="G16" s="17">
        <f t="shared" si="7"/>
        <v>0</v>
      </c>
      <c r="H16" s="17">
        <f t="shared" si="1"/>
        <v>0</v>
      </c>
      <c r="I16" s="18">
        <v>9.7222222222222224E-2</v>
      </c>
      <c r="J16" s="16"/>
      <c r="K16" s="16"/>
      <c r="L16" s="16"/>
      <c r="M16" s="17">
        <f t="shared" si="8"/>
        <v>0</v>
      </c>
      <c r="N16" s="17">
        <f t="shared" si="2"/>
        <v>0</v>
      </c>
      <c r="O16" s="18">
        <v>0.14583333333333334</v>
      </c>
      <c r="P16" s="19">
        <f t="shared" si="9"/>
        <v>15</v>
      </c>
      <c r="Q16" s="19">
        <f t="shared" si="10"/>
        <v>15</v>
      </c>
      <c r="R16" s="19">
        <f t="shared" si="11"/>
        <v>5</v>
      </c>
      <c r="S16" s="19">
        <f t="shared" si="3"/>
        <v>5</v>
      </c>
      <c r="T16" s="37"/>
      <c r="U16" s="37"/>
      <c r="V16" s="37"/>
      <c r="W16" s="37"/>
      <c r="X16" s="37"/>
      <c r="Y16" s="37"/>
      <c r="Z16" s="37"/>
      <c r="AA16" s="37"/>
      <c r="AB16" s="37"/>
      <c r="AC16" s="37"/>
      <c r="AD16" s="37"/>
      <c r="AE16" s="37"/>
      <c r="AF16" s="19">
        <f t="shared" si="0"/>
        <v>40</v>
      </c>
      <c r="AG16" s="72">
        <f t="shared" si="12"/>
        <v>1</v>
      </c>
      <c r="AI16" s="72">
        <f t="shared" si="13"/>
        <v>1</v>
      </c>
      <c r="AJ16" s="89">
        <f t="shared" si="6"/>
        <v>0</v>
      </c>
      <c r="AK16" s="90"/>
      <c r="AL16" s="90"/>
      <c r="AM16" s="90"/>
      <c r="AN16" s="90"/>
      <c r="AO16" s="90"/>
    </row>
    <row r="17" spans="1:41">
      <c r="A17" s="14" t="s">
        <v>170</v>
      </c>
      <c r="B17" s="14" t="s">
        <v>207</v>
      </c>
      <c r="C17" s="14"/>
      <c r="D17" s="16"/>
      <c r="E17" s="16"/>
      <c r="F17" s="16"/>
      <c r="G17" s="17">
        <f t="shared" si="7"/>
        <v>0</v>
      </c>
      <c r="H17" s="17">
        <f t="shared" si="1"/>
        <v>0</v>
      </c>
      <c r="I17" s="18">
        <v>9.7222222222222224E-2</v>
      </c>
      <c r="J17" s="16"/>
      <c r="K17" s="16"/>
      <c r="L17" s="16"/>
      <c r="M17" s="17">
        <f t="shared" si="8"/>
        <v>0</v>
      </c>
      <c r="N17" s="17">
        <f t="shared" si="2"/>
        <v>0</v>
      </c>
      <c r="O17" s="18">
        <v>0.14583333333333334</v>
      </c>
      <c r="P17" s="19">
        <f t="shared" si="9"/>
        <v>15</v>
      </c>
      <c r="Q17" s="19">
        <f t="shared" si="10"/>
        <v>15</v>
      </c>
      <c r="R17" s="19">
        <f t="shared" si="11"/>
        <v>5</v>
      </c>
      <c r="S17" s="19">
        <f t="shared" si="3"/>
        <v>5</v>
      </c>
      <c r="T17" s="37"/>
      <c r="U17" s="37"/>
      <c r="V17" s="37"/>
      <c r="W17" s="37"/>
      <c r="X17" s="37"/>
      <c r="Y17" s="37"/>
      <c r="Z17" s="37"/>
      <c r="AA17" s="37"/>
      <c r="AB17" s="37"/>
      <c r="AC17" s="37"/>
      <c r="AD17" s="37"/>
      <c r="AE17" s="37"/>
      <c r="AF17" s="19">
        <f t="shared" si="0"/>
        <v>40</v>
      </c>
      <c r="AG17" s="72">
        <f t="shared" si="12"/>
        <v>1</v>
      </c>
      <c r="AI17" s="72">
        <f t="shared" si="13"/>
        <v>1</v>
      </c>
      <c r="AJ17" s="89">
        <f t="shared" si="6"/>
        <v>0</v>
      </c>
      <c r="AK17" s="90"/>
      <c r="AL17" s="90"/>
      <c r="AM17" s="90"/>
      <c r="AN17" s="90"/>
      <c r="AO17" s="90"/>
    </row>
    <row r="18" spans="1:41">
      <c r="A18" s="14" t="s">
        <v>170</v>
      </c>
      <c r="B18" s="44" t="s">
        <v>209</v>
      </c>
      <c r="C18" s="14"/>
      <c r="D18" s="16"/>
      <c r="E18" s="16"/>
      <c r="F18" s="16"/>
      <c r="G18" s="17">
        <f t="shared" si="7"/>
        <v>0</v>
      </c>
      <c r="H18" s="17">
        <f t="shared" si="1"/>
        <v>0</v>
      </c>
      <c r="I18" s="18">
        <v>9.7222222222222224E-2</v>
      </c>
      <c r="J18" s="16"/>
      <c r="K18" s="16"/>
      <c r="L18" s="16"/>
      <c r="M18" s="17">
        <f t="shared" si="8"/>
        <v>0</v>
      </c>
      <c r="N18" s="17">
        <f t="shared" si="2"/>
        <v>0</v>
      </c>
      <c r="O18" s="18">
        <v>0.14583333333333334</v>
      </c>
      <c r="P18" s="19">
        <f t="shared" si="9"/>
        <v>15</v>
      </c>
      <c r="Q18" s="19">
        <f t="shared" si="10"/>
        <v>15</v>
      </c>
      <c r="R18" s="19">
        <f t="shared" si="11"/>
        <v>5</v>
      </c>
      <c r="S18" s="19">
        <f t="shared" si="3"/>
        <v>5</v>
      </c>
      <c r="T18" s="37"/>
      <c r="U18" s="37"/>
      <c r="V18" s="37"/>
      <c r="W18" s="37"/>
      <c r="X18" s="37"/>
      <c r="Y18" s="37"/>
      <c r="Z18" s="37"/>
      <c r="AA18" s="37"/>
      <c r="AB18" s="37"/>
      <c r="AC18" s="37"/>
      <c r="AD18" s="37"/>
      <c r="AE18" s="37"/>
      <c r="AF18" s="19">
        <f t="shared" si="0"/>
        <v>40</v>
      </c>
      <c r="AG18" s="72">
        <f t="shared" si="12"/>
        <v>1</v>
      </c>
      <c r="AI18" s="72">
        <f t="shared" si="13"/>
        <v>1</v>
      </c>
      <c r="AJ18" s="89">
        <f t="shared" si="6"/>
        <v>0</v>
      </c>
      <c r="AK18" s="90"/>
      <c r="AL18" s="90"/>
      <c r="AM18" s="90"/>
      <c r="AN18" s="90"/>
      <c r="AO18" s="90"/>
    </row>
    <row r="19" spans="1:41" s="69" customFormat="1" ht="14.25" thickBot="1">
      <c r="A19" s="62" t="s">
        <v>173</v>
      </c>
      <c r="B19" s="62" t="s">
        <v>210</v>
      </c>
      <c r="C19" s="62"/>
      <c r="D19" s="64"/>
      <c r="E19" s="64"/>
      <c r="F19" s="64"/>
      <c r="G19" s="65">
        <f>E19-D19</f>
        <v>0</v>
      </c>
      <c r="H19" s="65">
        <f t="shared" si="1"/>
        <v>0</v>
      </c>
      <c r="I19" s="66">
        <v>9.7222222222222224E-2</v>
      </c>
      <c r="J19" s="64"/>
      <c r="K19" s="64"/>
      <c r="L19" s="64"/>
      <c r="M19" s="65">
        <f>K19-J19</f>
        <v>0</v>
      </c>
      <c r="N19" s="65">
        <f t="shared" si="2"/>
        <v>0</v>
      </c>
      <c r="O19" s="66">
        <v>0.14583333333333334</v>
      </c>
      <c r="P19" s="67">
        <f>MAX(P$2-ROUND(H19*60*24*0.5,1),0)</f>
        <v>15</v>
      </c>
      <c r="Q19" s="67">
        <f>MAX(Q$2-ROUND(N19*60*24*0.5,1),0)</f>
        <v>15</v>
      </c>
      <c r="R19" s="67">
        <f>MAX(MIN($R$2+ROUND((I19-(F19-D19))*60*24*0.25,1),$R$2),0)</f>
        <v>5</v>
      </c>
      <c r="S19" s="67">
        <f>MAX(MIN($S$2+ROUND((O19-(L19-J19))*60*24*0.25,1),$S$2),0)</f>
        <v>5</v>
      </c>
      <c r="T19" s="68"/>
      <c r="U19" s="68"/>
      <c r="V19" s="68"/>
      <c r="W19" s="68"/>
      <c r="X19" s="68"/>
      <c r="Y19" s="68"/>
      <c r="Z19" s="68"/>
      <c r="AA19" s="68"/>
      <c r="AB19" s="68"/>
      <c r="AC19" s="68"/>
      <c r="AD19" s="68"/>
      <c r="AE19" s="68"/>
      <c r="AF19" s="67">
        <f>SUM(P19:AE19)</f>
        <v>40</v>
      </c>
      <c r="AG19" s="75">
        <f t="shared" si="12"/>
        <v>1</v>
      </c>
      <c r="AI19" s="91">
        <f t="shared" si="13"/>
        <v>1</v>
      </c>
      <c r="AJ19" s="92">
        <f>SUM(AK19:AO19)</f>
        <v>0</v>
      </c>
      <c r="AK19" s="93"/>
      <c r="AL19" s="93"/>
      <c r="AM19" s="93"/>
      <c r="AN19" s="93"/>
      <c r="AO19" s="93"/>
    </row>
    <row r="20" spans="1:41" ht="14.25" thickTop="1">
      <c r="A20" s="44" t="s">
        <v>175</v>
      </c>
      <c r="B20" s="44" t="s">
        <v>139</v>
      </c>
      <c r="C20" s="44"/>
      <c r="D20" s="16"/>
      <c r="E20" s="46"/>
      <c r="F20" s="46"/>
      <c r="G20" s="47">
        <f t="shared" si="7"/>
        <v>0</v>
      </c>
      <c r="H20" s="17">
        <f>G20-MIN($G$20:$G$24)</f>
        <v>0</v>
      </c>
      <c r="I20" s="48">
        <v>0.1111111111111111</v>
      </c>
      <c r="J20" s="46"/>
      <c r="K20" s="46"/>
      <c r="L20" s="46"/>
      <c r="M20" s="47">
        <f t="shared" si="8"/>
        <v>0</v>
      </c>
      <c r="N20" s="47">
        <f>M20-MIN(M$20:M$24)</f>
        <v>0</v>
      </c>
      <c r="O20" s="48">
        <v>0.16666666666666666</v>
      </c>
      <c r="P20" s="49">
        <f t="shared" si="9"/>
        <v>15</v>
      </c>
      <c r="Q20" s="49">
        <f t="shared" si="10"/>
        <v>15</v>
      </c>
      <c r="R20" s="49">
        <f t="shared" si="11"/>
        <v>5</v>
      </c>
      <c r="S20" s="49">
        <f t="shared" si="3"/>
        <v>5</v>
      </c>
      <c r="T20" s="50"/>
      <c r="U20" s="50"/>
      <c r="V20" s="50"/>
      <c r="W20" s="50"/>
      <c r="X20" s="50"/>
      <c r="Y20" s="50"/>
      <c r="Z20" s="50"/>
      <c r="AA20" s="50"/>
      <c r="AB20" s="50"/>
      <c r="AC20" s="50"/>
      <c r="AD20" s="50"/>
      <c r="AE20" s="50"/>
      <c r="AF20" s="49">
        <f t="shared" si="0"/>
        <v>40</v>
      </c>
      <c r="AG20" s="74">
        <f>RANK(AF20,$AF$20:$AF$21)</f>
        <v>1</v>
      </c>
      <c r="AI20" s="96">
        <f>RANK(G20,$G$20:$G$21,1)</f>
        <v>1</v>
      </c>
      <c r="AJ20" s="97">
        <f t="shared" si="6"/>
        <v>0</v>
      </c>
      <c r="AK20" s="98"/>
      <c r="AL20" s="98"/>
      <c r="AM20" s="98"/>
      <c r="AN20" s="98"/>
      <c r="AO20" s="98"/>
    </row>
    <row r="21" spans="1:41" s="60" customFormat="1" ht="14.25" thickBot="1">
      <c r="A21" s="52" t="s">
        <v>175</v>
      </c>
      <c r="B21" s="52" t="s">
        <v>202</v>
      </c>
      <c r="C21" s="52"/>
      <c r="D21" s="54"/>
      <c r="E21" s="54"/>
      <c r="F21" s="54"/>
      <c r="G21" s="55">
        <f t="shared" si="7"/>
        <v>0</v>
      </c>
      <c r="H21" s="55">
        <f>G21-MIN($G$20:$G$24)</f>
        <v>0</v>
      </c>
      <c r="I21" s="56">
        <v>0.1111111111111111</v>
      </c>
      <c r="J21" s="54"/>
      <c r="K21" s="54"/>
      <c r="L21" s="54"/>
      <c r="M21" s="55">
        <f t="shared" si="8"/>
        <v>0</v>
      </c>
      <c r="N21" s="55">
        <f>M21-MIN(M$20:M$24)</f>
        <v>0</v>
      </c>
      <c r="O21" s="56">
        <v>0.16666666666666666</v>
      </c>
      <c r="P21" s="57">
        <f t="shared" si="9"/>
        <v>15</v>
      </c>
      <c r="Q21" s="57">
        <f t="shared" si="10"/>
        <v>15</v>
      </c>
      <c r="R21" s="57">
        <f t="shared" si="11"/>
        <v>5</v>
      </c>
      <c r="S21" s="57">
        <f t="shared" si="3"/>
        <v>5</v>
      </c>
      <c r="T21" s="58"/>
      <c r="U21" s="58"/>
      <c r="V21" s="58"/>
      <c r="W21" s="58"/>
      <c r="X21" s="58"/>
      <c r="Y21" s="58"/>
      <c r="Z21" s="58"/>
      <c r="AA21" s="58"/>
      <c r="AB21" s="58"/>
      <c r="AC21" s="58"/>
      <c r="AD21" s="58"/>
      <c r="AE21" s="58"/>
      <c r="AF21" s="57">
        <f t="shared" si="0"/>
        <v>40</v>
      </c>
      <c r="AG21" s="73">
        <f>RANK(AF21,$AF$20:$AF$21)</f>
        <v>1</v>
      </c>
      <c r="AI21" s="73">
        <f>RANK(G21,$G$20:$G$21,1)</f>
        <v>1</v>
      </c>
      <c r="AJ21" s="99">
        <f t="shared" si="6"/>
        <v>0</v>
      </c>
      <c r="AK21" s="100"/>
      <c r="AL21" s="100"/>
      <c r="AM21" s="100"/>
      <c r="AN21" s="100"/>
      <c r="AO21" s="100"/>
    </row>
    <row r="22" spans="1:41" ht="14.25" thickTop="1">
      <c r="A22" s="44" t="s">
        <v>200</v>
      </c>
      <c r="B22" s="44" t="s">
        <v>211</v>
      </c>
      <c r="C22" s="44"/>
      <c r="D22" s="46"/>
      <c r="E22" s="46"/>
      <c r="F22" s="46"/>
      <c r="G22" s="47">
        <f t="shared" si="7"/>
        <v>0</v>
      </c>
      <c r="H22" s="47">
        <f>G22-MIN($G$20:$G$24)</f>
        <v>0</v>
      </c>
      <c r="I22" s="48">
        <v>0.1111111111111111</v>
      </c>
      <c r="J22" s="46"/>
      <c r="K22" s="46"/>
      <c r="L22" s="46"/>
      <c r="M22" s="47">
        <f t="shared" si="8"/>
        <v>0</v>
      </c>
      <c r="N22" s="47">
        <f>M22-MIN(M$20:M$24)</f>
        <v>0</v>
      </c>
      <c r="O22" s="48">
        <v>0.16666666666666666</v>
      </c>
      <c r="P22" s="49">
        <f t="shared" si="9"/>
        <v>15</v>
      </c>
      <c r="Q22" s="49">
        <f t="shared" si="10"/>
        <v>15</v>
      </c>
      <c r="R22" s="49">
        <f t="shared" si="11"/>
        <v>5</v>
      </c>
      <c r="S22" s="49">
        <f t="shared" si="3"/>
        <v>5</v>
      </c>
      <c r="T22" s="50"/>
      <c r="U22" s="50"/>
      <c r="V22" s="50"/>
      <c r="W22" s="50"/>
      <c r="X22" s="50"/>
      <c r="Y22" s="50"/>
      <c r="Z22" s="50"/>
      <c r="AA22" s="50"/>
      <c r="AB22" s="50"/>
      <c r="AC22" s="50"/>
      <c r="AD22" s="50"/>
      <c r="AE22" s="50"/>
      <c r="AF22" s="49">
        <f t="shared" si="0"/>
        <v>40</v>
      </c>
      <c r="AG22" s="74">
        <f>RANK(AF22,$AF$22:$AF$24)</f>
        <v>1</v>
      </c>
      <c r="AI22" s="74">
        <f>RANK(G22,$G$22:$G$24,1)</f>
        <v>1</v>
      </c>
      <c r="AJ22" s="94">
        <f t="shared" si="6"/>
        <v>0</v>
      </c>
      <c r="AK22" s="95"/>
      <c r="AL22" s="95"/>
      <c r="AM22" s="95"/>
      <c r="AN22" s="95"/>
      <c r="AO22" s="95"/>
    </row>
    <row r="23" spans="1:41">
      <c r="A23" s="14" t="s">
        <v>200</v>
      </c>
      <c r="B23" s="14" t="s">
        <v>133</v>
      </c>
      <c r="C23" s="14"/>
      <c r="D23" s="16"/>
      <c r="E23" s="16"/>
      <c r="F23" s="16"/>
      <c r="G23" s="17">
        <f>E23-D23</f>
        <v>0</v>
      </c>
      <c r="H23" s="17">
        <f>G23-MIN($G$20:$G$24)</f>
        <v>0</v>
      </c>
      <c r="I23" s="18">
        <v>0.1111111111111111</v>
      </c>
      <c r="J23" s="16"/>
      <c r="K23" s="16"/>
      <c r="L23" s="16"/>
      <c r="M23" s="17">
        <f>K23-J23</f>
        <v>0</v>
      </c>
      <c r="N23" s="17">
        <f>M23-MIN(M$20:M$24)</f>
        <v>0</v>
      </c>
      <c r="O23" s="18">
        <v>0.16666666666666666</v>
      </c>
      <c r="P23" s="19">
        <f>MAX(P$2-ROUND(H23*60*24*0.5,1),0)</f>
        <v>15</v>
      </c>
      <c r="Q23" s="19">
        <f>MAX(Q$2-ROUND(N23*60*24*0.5,1),0)</f>
        <v>15</v>
      </c>
      <c r="R23" s="19">
        <f>MAX(MIN($R$2+ROUND((I23-(F23-D23))*60*24*0.25,1),$R$2),0)</f>
        <v>5</v>
      </c>
      <c r="S23" s="49">
        <f t="shared" si="3"/>
        <v>5</v>
      </c>
      <c r="T23" s="37"/>
      <c r="U23" s="37"/>
      <c r="V23" s="37"/>
      <c r="W23" s="37"/>
      <c r="X23" s="37"/>
      <c r="Y23" s="37"/>
      <c r="Z23" s="37"/>
      <c r="AA23" s="37"/>
      <c r="AB23" s="37"/>
      <c r="AC23" s="37"/>
      <c r="AD23" s="37"/>
      <c r="AE23" s="37"/>
      <c r="AF23" s="49">
        <f>SUM(P23:AE23)</f>
        <v>40</v>
      </c>
      <c r="AG23" s="74">
        <f>RANK(AF23,$AF$22:$AF$24)</f>
        <v>1</v>
      </c>
      <c r="AI23" s="72">
        <f>RANK(G23,$G$22:$G$24,1)</f>
        <v>1</v>
      </c>
      <c r="AJ23" s="89">
        <f>SUM(AK23:AO23)</f>
        <v>0</v>
      </c>
      <c r="AK23" s="90"/>
      <c r="AL23" s="90"/>
      <c r="AM23" s="90"/>
      <c r="AN23" s="90"/>
      <c r="AO23" s="90"/>
    </row>
    <row r="24" spans="1:41">
      <c r="A24" s="14" t="s">
        <v>200</v>
      </c>
      <c r="B24" s="14" t="s">
        <v>212</v>
      </c>
      <c r="C24" s="14"/>
      <c r="D24" s="16"/>
      <c r="E24" s="16"/>
      <c r="F24" s="16"/>
      <c r="G24" s="17">
        <f t="shared" si="7"/>
        <v>0</v>
      </c>
      <c r="H24" s="17">
        <f>G24-MIN($G$20:$G$24)</f>
        <v>0</v>
      </c>
      <c r="I24" s="18">
        <v>0.1111111111111111</v>
      </c>
      <c r="J24" s="16"/>
      <c r="K24" s="16"/>
      <c r="L24" s="16"/>
      <c r="M24" s="17">
        <f t="shared" si="8"/>
        <v>0</v>
      </c>
      <c r="N24" s="17">
        <f>M24-MIN(M$20:M$24)</f>
        <v>0</v>
      </c>
      <c r="O24" s="18">
        <v>0.16666666666666666</v>
      </c>
      <c r="P24" s="19">
        <f t="shared" si="9"/>
        <v>15</v>
      </c>
      <c r="Q24" s="19">
        <f t="shared" si="10"/>
        <v>15</v>
      </c>
      <c r="R24" s="19">
        <f t="shared" si="11"/>
        <v>5</v>
      </c>
      <c r="S24" s="49">
        <f t="shared" si="3"/>
        <v>5</v>
      </c>
      <c r="T24" s="37"/>
      <c r="U24" s="37"/>
      <c r="V24" s="37"/>
      <c r="W24" s="37"/>
      <c r="X24" s="37"/>
      <c r="Y24" s="37"/>
      <c r="Z24" s="37"/>
      <c r="AA24" s="37"/>
      <c r="AB24" s="37"/>
      <c r="AC24" s="37"/>
      <c r="AD24" s="37"/>
      <c r="AE24" s="37"/>
      <c r="AF24" s="49">
        <f>SUM(P24:AE24)</f>
        <v>40</v>
      </c>
      <c r="AG24" s="74">
        <f>RANK(AF24,$AF$22:$AF$24)</f>
        <v>1</v>
      </c>
      <c r="AI24" s="72">
        <f>RANK(G24,$G$22:$G$24,1)</f>
        <v>1</v>
      </c>
      <c r="AJ24" s="89">
        <f t="shared" si="6"/>
        <v>0</v>
      </c>
      <c r="AK24" s="90"/>
      <c r="AL24" s="90"/>
      <c r="AM24" s="90"/>
      <c r="AN24" s="90"/>
      <c r="AO24" s="90"/>
    </row>
    <row r="26" spans="1:41">
      <c r="A26" s="81" t="s">
        <v>201</v>
      </c>
      <c r="P26" s="29">
        <f t="shared" ref="P26:AF26" si="14">AVERAGE(P3:P24)</f>
        <v>15</v>
      </c>
      <c r="Q26" s="29">
        <f t="shared" si="14"/>
        <v>15</v>
      </c>
      <c r="R26" s="29">
        <f t="shared" si="14"/>
        <v>5</v>
      </c>
      <c r="S26" s="29">
        <f t="shared" si="14"/>
        <v>5</v>
      </c>
      <c r="T26" s="29" t="e">
        <f t="shared" si="14"/>
        <v>#DIV/0!</v>
      </c>
      <c r="U26" s="29" t="e">
        <f t="shared" si="14"/>
        <v>#DIV/0!</v>
      </c>
      <c r="V26" s="29" t="e">
        <f t="shared" si="14"/>
        <v>#DIV/0!</v>
      </c>
      <c r="W26" s="29" t="e">
        <f t="shared" si="14"/>
        <v>#DIV/0!</v>
      </c>
      <c r="X26" s="29" t="e">
        <f t="shared" si="14"/>
        <v>#DIV/0!</v>
      </c>
      <c r="Y26" s="29" t="e">
        <f t="shared" si="14"/>
        <v>#DIV/0!</v>
      </c>
      <c r="Z26" s="29" t="e">
        <f t="shared" si="14"/>
        <v>#DIV/0!</v>
      </c>
      <c r="AA26" s="29" t="e">
        <f t="shared" si="14"/>
        <v>#DIV/0!</v>
      </c>
      <c r="AB26" s="29" t="e">
        <f t="shared" si="14"/>
        <v>#DIV/0!</v>
      </c>
      <c r="AC26" s="29" t="e">
        <f t="shared" si="14"/>
        <v>#DIV/0!</v>
      </c>
      <c r="AD26" s="29" t="e">
        <f t="shared" si="14"/>
        <v>#DIV/0!</v>
      </c>
      <c r="AE26" s="29" t="e">
        <f t="shared" si="14"/>
        <v>#DIV/0!</v>
      </c>
      <c r="AF26" s="29">
        <f t="shared" si="14"/>
        <v>40</v>
      </c>
    </row>
  </sheetData>
  <phoneticPr fontId="3"/>
  <pageMargins left="0.41" right="0.55000000000000004" top="0.98425196850393704" bottom="0.98425196850393704" header="0.51181102362204722" footer="0.51181102362204722"/>
  <pageSetup paperSize="9" scale="58" orientation="landscape" r:id="rId1"/>
  <headerFooter alignWithMargins="0">
    <oddHeader>&amp;R&amp;D &amp;T</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BH60"/>
  <sheetViews>
    <sheetView workbookViewId="0">
      <pane xSplit="2" ySplit="1" topLeftCell="I2" activePane="bottomRight" state="frozen"/>
      <selection pane="topRight" activeCell="C1" sqref="C1"/>
      <selection pane="bottomLeft" activeCell="A2" sqref="A2"/>
      <selection pane="bottomRight" activeCell="I9" sqref="I9"/>
    </sheetView>
  </sheetViews>
  <sheetFormatPr defaultRowHeight="13.5"/>
  <cols>
    <col min="1" max="1" width="3.75" style="22" bestFit="1" customWidth="1"/>
    <col min="2" max="2" width="11.375" style="22" bestFit="1" customWidth="1"/>
    <col min="3" max="3" width="6.625" style="23" hidden="1" customWidth="1"/>
    <col min="4" max="4" width="10.25" style="23" hidden="1" customWidth="1"/>
    <col min="5" max="5" width="5.75" style="23" hidden="1" customWidth="1"/>
    <col min="6" max="8" width="8.25" style="24" hidden="1" customWidth="1"/>
    <col min="9" max="9" width="7.5" style="25" customWidth="1"/>
    <col min="10" max="11" width="7" style="25" hidden="1" customWidth="1"/>
    <col min="12" max="12" width="7.5" style="27" hidden="1" customWidth="1"/>
    <col min="13" max="13" width="7.25" style="26" hidden="1" customWidth="1"/>
    <col min="14" max="14" width="7.25" style="24" hidden="1" customWidth="1"/>
    <col min="15" max="15" width="8.125" style="24" hidden="1" customWidth="1"/>
    <col min="16" max="18" width="6.875" style="25" customWidth="1"/>
    <col min="19" max="19" width="7.75" style="27" customWidth="1"/>
    <col min="20" max="20" width="7.125" style="30" customWidth="1"/>
    <col min="21" max="23" width="7.125" style="31" customWidth="1"/>
    <col min="24" max="35" width="7.125" style="39" customWidth="1"/>
    <col min="36" max="36" width="6.75" style="31" bestFit="1" customWidth="1"/>
    <col min="37" max="37" width="5.75" style="31" bestFit="1" customWidth="1"/>
  </cols>
  <sheetData>
    <row r="1" spans="1:60" s="6" customFormat="1">
      <c r="A1" s="1" t="s">
        <v>87</v>
      </c>
      <c r="B1" s="1" t="s">
        <v>88</v>
      </c>
      <c r="C1" s="8" t="s">
        <v>157</v>
      </c>
      <c r="D1" s="8" t="s">
        <v>90</v>
      </c>
      <c r="E1" s="8" t="s">
        <v>228</v>
      </c>
      <c r="F1" s="2" t="s">
        <v>158</v>
      </c>
      <c r="G1" s="2" t="s">
        <v>159</v>
      </c>
      <c r="H1" s="2" t="s">
        <v>160</v>
      </c>
      <c r="I1" s="3" t="s">
        <v>91</v>
      </c>
      <c r="J1" s="3" t="s">
        <v>92</v>
      </c>
      <c r="K1" s="3" t="s">
        <v>239</v>
      </c>
      <c r="L1" s="3" t="s">
        <v>240</v>
      </c>
      <c r="M1" s="2" t="s">
        <v>109</v>
      </c>
      <c r="N1" s="2" t="s">
        <v>110</v>
      </c>
      <c r="O1" s="2" t="s">
        <v>111</v>
      </c>
      <c r="P1" s="3" t="s">
        <v>93</v>
      </c>
      <c r="Q1" s="3" t="s">
        <v>94</v>
      </c>
      <c r="R1" s="3" t="s">
        <v>241</v>
      </c>
      <c r="S1" s="3" t="s">
        <v>242</v>
      </c>
      <c r="T1" s="4" t="s">
        <v>95</v>
      </c>
      <c r="U1" s="5" t="s">
        <v>96</v>
      </c>
      <c r="V1" s="5" t="s">
        <v>0</v>
      </c>
      <c r="W1" s="5" t="s">
        <v>1</v>
      </c>
      <c r="X1" s="34" t="s">
        <v>97</v>
      </c>
      <c r="Y1" s="35" t="s">
        <v>2</v>
      </c>
      <c r="Z1" s="35" t="s">
        <v>3</v>
      </c>
      <c r="AA1" s="35" t="s">
        <v>4</v>
      </c>
      <c r="AB1" s="35" t="s">
        <v>214</v>
      </c>
      <c r="AC1" s="35" t="s">
        <v>5</v>
      </c>
      <c r="AD1" s="34" t="s">
        <v>6</v>
      </c>
      <c r="AE1" s="35" t="s">
        <v>7</v>
      </c>
      <c r="AF1" s="35" t="s">
        <v>8</v>
      </c>
      <c r="AG1" s="35" t="s">
        <v>9</v>
      </c>
      <c r="AH1" s="35" t="s">
        <v>10</v>
      </c>
      <c r="AI1" s="35" t="s">
        <v>11</v>
      </c>
      <c r="AJ1" s="5" t="s">
        <v>12</v>
      </c>
      <c r="AK1" s="5" t="s">
        <v>98</v>
      </c>
      <c r="AL1" s="6" t="s">
        <v>105</v>
      </c>
      <c r="AM1" s="6" t="s">
        <v>190</v>
      </c>
      <c r="AN1" s="6" t="s">
        <v>291</v>
      </c>
      <c r="AO1" s="6" t="s">
        <v>289</v>
      </c>
      <c r="AT1" s="6" t="s">
        <v>288</v>
      </c>
      <c r="AY1" s="6" t="s">
        <v>286</v>
      </c>
      <c r="BD1" s="6" t="s">
        <v>287</v>
      </c>
    </row>
    <row r="2" spans="1:60" s="13" customFormat="1">
      <c r="A2" s="7"/>
      <c r="B2" s="7" t="s">
        <v>561</v>
      </c>
      <c r="C2" s="8"/>
      <c r="D2" s="8"/>
      <c r="E2" s="8"/>
      <c r="F2" s="9"/>
      <c r="G2" s="9"/>
      <c r="H2" s="9"/>
      <c r="I2" s="10"/>
      <c r="J2" s="10"/>
      <c r="K2" s="10"/>
      <c r="L2" s="11"/>
      <c r="M2" s="9"/>
      <c r="N2" s="9"/>
      <c r="O2" s="9"/>
      <c r="P2" s="10"/>
      <c r="Q2" s="10"/>
      <c r="R2" s="10"/>
      <c r="S2" s="11"/>
      <c r="T2" s="12">
        <v>15</v>
      </c>
      <c r="U2" s="12">
        <v>15</v>
      </c>
      <c r="V2" s="12">
        <v>5</v>
      </c>
      <c r="W2" s="12">
        <v>5</v>
      </c>
      <c r="X2" s="36">
        <v>10</v>
      </c>
      <c r="Y2" s="36">
        <v>8</v>
      </c>
      <c r="Z2" s="36">
        <v>4</v>
      </c>
      <c r="AA2" s="36">
        <v>5</v>
      </c>
      <c r="AB2" s="36">
        <v>2</v>
      </c>
      <c r="AC2" s="36">
        <v>7</v>
      </c>
      <c r="AD2" s="36">
        <v>4</v>
      </c>
      <c r="AE2" s="36">
        <v>2</v>
      </c>
      <c r="AF2" s="36">
        <v>6</v>
      </c>
      <c r="AG2" s="36">
        <v>4</v>
      </c>
      <c r="AH2" s="36">
        <v>3</v>
      </c>
      <c r="AI2" s="36">
        <v>5</v>
      </c>
      <c r="AJ2" s="12">
        <f>SUM(M2:AI2)</f>
        <v>100</v>
      </c>
      <c r="AK2" s="32"/>
    </row>
    <row r="3" spans="1:60">
      <c r="A3" s="14" t="s">
        <v>118</v>
      </c>
      <c r="B3" s="14" t="s">
        <v>182</v>
      </c>
      <c r="C3" s="101" t="s">
        <v>261</v>
      </c>
      <c r="D3" s="101" t="s">
        <v>237</v>
      </c>
      <c r="E3" s="101">
        <v>4</v>
      </c>
      <c r="F3" s="16">
        <v>0.53125</v>
      </c>
      <c r="G3" s="16">
        <v>0.57865740740740745</v>
      </c>
      <c r="H3" s="16">
        <v>0.66874999999999996</v>
      </c>
      <c r="I3" s="17">
        <f>G3-F3</f>
        <v>4.7407407407407454E-2</v>
      </c>
      <c r="J3" s="17">
        <f t="shared" ref="J3:J18" si="0">I3-MIN(I$3:I$18)</f>
        <v>2.391203703703737E-2</v>
      </c>
      <c r="K3" s="17">
        <f>H3-F3</f>
        <v>0.13749999999999996</v>
      </c>
      <c r="L3" s="18">
        <v>0.125</v>
      </c>
      <c r="M3" s="16">
        <v>0.27847222222222223</v>
      </c>
      <c r="N3" s="16">
        <v>0.31940972222222225</v>
      </c>
      <c r="O3" s="16">
        <v>0.43570601851851848</v>
      </c>
      <c r="P3" s="17">
        <f>N3-M3</f>
        <v>4.0937500000000016E-2</v>
      </c>
      <c r="Q3" s="17">
        <f t="shared" ref="Q3:Q18" si="1">P3-MIN(P$3:P$18)</f>
        <v>1.7013888888888939E-2</v>
      </c>
      <c r="R3" s="17">
        <f>O3-M3</f>
        <v>0.15723379629629625</v>
      </c>
      <c r="S3" s="18">
        <v>0.14583333333333334</v>
      </c>
      <c r="T3" s="19">
        <f>ROUND(MAX(T$2-J3*60*24*0.5,0),1)</f>
        <v>0</v>
      </c>
      <c r="U3" s="19">
        <f>ROUND(MAX(U$2-Q3*60*24*0.5,0),1)</f>
        <v>2.7</v>
      </c>
      <c r="V3" s="19">
        <f>ROUND(MAX(MIN(V$2+(L3-K3)*60*24*0.25,$V$2),0),1)</f>
        <v>0.5</v>
      </c>
      <c r="W3" s="19">
        <f>ROUND(MAX(MIN($W$2+(S3-R3)*60*24*0.25,$W$2),0),1)</f>
        <v>0.9</v>
      </c>
      <c r="X3" s="37">
        <v>10</v>
      </c>
      <c r="Y3" s="37">
        <v>7.8</v>
      </c>
      <c r="Z3" s="37">
        <v>4</v>
      </c>
      <c r="AA3" s="37">
        <v>0</v>
      </c>
      <c r="AB3" s="37">
        <v>1.6</v>
      </c>
      <c r="AC3" s="37">
        <f>0+0.5</f>
        <v>0.5</v>
      </c>
      <c r="AD3" s="37">
        <v>2.8</v>
      </c>
      <c r="AE3" s="37">
        <v>1.8</v>
      </c>
      <c r="AF3" s="37">
        <v>4.5</v>
      </c>
      <c r="AG3" s="37">
        <v>0.4</v>
      </c>
      <c r="AH3" s="37">
        <v>3</v>
      </c>
      <c r="AI3" s="37">
        <v>5</v>
      </c>
      <c r="AJ3" s="19">
        <f>SUM(T3:AI3)</f>
        <v>45.5</v>
      </c>
      <c r="AK3" s="33">
        <f t="shared" ref="AK3:AK10" si="2">RANK(AJ3,$AJ$3:$AJ$10)</f>
        <v>7</v>
      </c>
      <c r="AM3">
        <f t="shared" ref="AM3:AM10" si="3">RANK(J3,$J$3:$J$10,1)</f>
        <v>6</v>
      </c>
      <c r="AN3">
        <v>0.5</v>
      </c>
      <c r="AO3">
        <v>16.399999999999999</v>
      </c>
      <c r="AP3">
        <v>15.95</v>
      </c>
      <c r="AQ3">
        <v>15.7</v>
      </c>
      <c r="AR3">
        <v>14.6</v>
      </c>
      <c r="AS3" s="121">
        <f>AVERAGE(AO3:AR3)</f>
        <v>15.6625</v>
      </c>
      <c r="AT3">
        <v>16.2</v>
      </c>
      <c r="AU3">
        <v>15.5</v>
      </c>
      <c r="AV3">
        <v>13.45</v>
      </c>
      <c r="AW3">
        <v>15.6</v>
      </c>
      <c r="AX3" s="121">
        <f>AVERAGE(AT3:AW3)</f>
        <v>15.1875</v>
      </c>
      <c r="AY3">
        <v>14.8</v>
      </c>
      <c r="AZ3">
        <v>14.45</v>
      </c>
      <c r="BA3">
        <v>12.25</v>
      </c>
      <c r="BB3">
        <v>12.75</v>
      </c>
      <c r="BC3" s="121">
        <f t="shared" ref="BC3:BC22" si="4">AVERAGE(AY3:BB3)</f>
        <v>13.5625</v>
      </c>
      <c r="BD3">
        <v>13.6</v>
      </c>
      <c r="BE3">
        <v>15</v>
      </c>
      <c r="BF3">
        <v>14.9</v>
      </c>
      <c r="BG3">
        <v>12.6</v>
      </c>
      <c r="BH3" s="121">
        <f t="shared" ref="BH3:BH22" si="5">AVERAGE(BD3:BG3)</f>
        <v>14.025</v>
      </c>
    </row>
    <row r="4" spans="1:60">
      <c r="A4" s="14" t="s">
        <v>118</v>
      </c>
      <c r="B4" s="14" t="s">
        <v>15</v>
      </c>
      <c r="C4" s="102" t="s">
        <v>262</v>
      </c>
      <c r="D4" s="102" t="s">
        <v>226</v>
      </c>
      <c r="E4" s="102">
        <v>4</v>
      </c>
      <c r="F4" s="16">
        <v>0.53194444444444444</v>
      </c>
      <c r="G4" s="16">
        <v>0.56232638888888886</v>
      </c>
      <c r="H4" s="16">
        <v>0.6479166666666667</v>
      </c>
      <c r="I4" s="17">
        <f t="shared" ref="I4:I22" si="6">G4-F4</f>
        <v>3.038194444444442E-2</v>
      </c>
      <c r="J4" s="17">
        <f t="shared" si="0"/>
        <v>6.8865740740743364E-3</v>
      </c>
      <c r="K4" s="17">
        <f t="shared" ref="K4:K22" si="7">H4-F4</f>
        <v>0.11597222222222225</v>
      </c>
      <c r="L4" s="18">
        <v>0.125</v>
      </c>
      <c r="M4" s="16">
        <v>0.27638888888888885</v>
      </c>
      <c r="N4" s="16">
        <v>0.30858796296296298</v>
      </c>
      <c r="O4" s="16">
        <v>0.42100694444444442</v>
      </c>
      <c r="P4" s="17">
        <f t="shared" ref="P4:P22" si="8">N4-M4</f>
        <v>3.219907407407413E-2</v>
      </c>
      <c r="Q4" s="17">
        <f>P4-MIN(P$3:P$18)</f>
        <v>8.2754629629630538E-3</v>
      </c>
      <c r="R4" s="17">
        <f t="shared" ref="R4:R22" si="9">O4-M4</f>
        <v>0.14461805555555557</v>
      </c>
      <c r="S4" s="18">
        <v>0.14583333333333334</v>
      </c>
      <c r="T4" s="19">
        <f t="shared" ref="T4:T19" si="10">ROUND(MAX(T$2-J4*60*24*0.5,0),1)</f>
        <v>10</v>
      </c>
      <c r="U4" s="19">
        <f t="shared" ref="U4:U22" si="11">ROUND(MAX(U$2-Q4*60*24*0.5,0),1)</f>
        <v>9</v>
      </c>
      <c r="V4" s="19">
        <f t="shared" ref="V4:V22" si="12">ROUND(MAX(MIN(V$2+(L4-K4)*60*24*0.25,$V$2),0),1)</f>
        <v>5</v>
      </c>
      <c r="W4" s="19">
        <f t="shared" ref="W4:W22" si="13">ROUND(MAX(MIN($W$2+(S4-R4)*60*24*0.25,$W$2),0),1)</f>
        <v>5</v>
      </c>
      <c r="X4" s="37">
        <v>9.8000000000000007</v>
      </c>
      <c r="Y4" s="37">
        <v>7.7</v>
      </c>
      <c r="Z4" s="37">
        <v>4</v>
      </c>
      <c r="AA4" s="37">
        <v>2.4</v>
      </c>
      <c r="AB4" s="37">
        <v>2</v>
      </c>
      <c r="AC4" s="37">
        <f>2+3</f>
        <v>5</v>
      </c>
      <c r="AD4" s="37">
        <v>3.6</v>
      </c>
      <c r="AE4" s="37">
        <v>2</v>
      </c>
      <c r="AF4" s="37">
        <v>5.7</v>
      </c>
      <c r="AG4" s="37">
        <v>2.6</v>
      </c>
      <c r="AH4" s="37">
        <v>3</v>
      </c>
      <c r="AI4" s="37">
        <v>5</v>
      </c>
      <c r="AJ4" s="19">
        <f t="shared" ref="AJ4:AJ22" si="14">SUM(T4:AI4)</f>
        <v>81.8</v>
      </c>
      <c r="AK4" s="33">
        <f t="shared" si="2"/>
        <v>3</v>
      </c>
      <c r="AM4">
        <f t="shared" si="3"/>
        <v>3</v>
      </c>
      <c r="AO4">
        <v>12.4</v>
      </c>
      <c r="AP4">
        <v>10.6</v>
      </c>
      <c r="AQ4">
        <v>14.9</v>
      </c>
      <c r="AR4">
        <v>11.1</v>
      </c>
      <c r="AS4" s="121">
        <f t="shared" ref="AS4:AS22" si="15">AVERAGE(AO4:AR4)</f>
        <v>12.25</v>
      </c>
      <c r="AT4">
        <v>14.95</v>
      </c>
      <c r="AU4">
        <v>10.6</v>
      </c>
      <c r="AV4">
        <v>11.1</v>
      </c>
      <c r="AW4">
        <v>12.45</v>
      </c>
      <c r="AX4" s="121">
        <f t="shared" ref="AX4:AX22" si="16">AVERAGE(AT4:AW4)</f>
        <v>12.274999999999999</v>
      </c>
      <c r="AY4">
        <v>12.25</v>
      </c>
      <c r="AZ4">
        <v>9.9499999999999993</v>
      </c>
      <c r="BA4">
        <v>10.35</v>
      </c>
      <c r="BB4">
        <v>14.6</v>
      </c>
      <c r="BC4" s="121">
        <f t="shared" si="4"/>
        <v>11.7875</v>
      </c>
      <c r="BD4">
        <v>14.7</v>
      </c>
      <c r="BE4">
        <v>10.7</v>
      </c>
      <c r="BF4">
        <v>10.3</v>
      </c>
      <c r="BG4">
        <v>12.4</v>
      </c>
      <c r="BH4" s="121">
        <f t="shared" si="5"/>
        <v>12.025</v>
      </c>
    </row>
    <row r="5" spans="1:60">
      <c r="A5" s="14" t="s">
        <v>118</v>
      </c>
      <c r="B5" s="14" t="s">
        <v>217</v>
      </c>
      <c r="C5" s="101" t="s">
        <v>263</v>
      </c>
      <c r="D5" s="101" t="s">
        <v>224</v>
      </c>
      <c r="E5" s="101">
        <v>4</v>
      </c>
      <c r="F5" s="16">
        <v>0.53263888888888899</v>
      </c>
      <c r="G5" s="16">
        <v>0.55642361111111105</v>
      </c>
      <c r="H5" s="16">
        <v>0.64461805555555551</v>
      </c>
      <c r="I5" s="17">
        <f t="shared" si="6"/>
        <v>2.3784722222222054E-2</v>
      </c>
      <c r="J5" s="17">
        <f t="shared" si="0"/>
        <v>2.893518518519711E-4</v>
      </c>
      <c r="K5" s="17">
        <f t="shared" si="7"/>
        <v>0.11197916666666652</v>
      </c>
      <c r="L5" s="18">
        <v>0.125</v>
      </c>
      <c r="M5" s="16">
        <v>0.27569444444444446</v>
      </c>
      <c r="N5" s="16">
        <v>0.30039351851851853</v>
      </c>
      <c r="O5" s="16">
        <v>0.41586805555555556</v>
      </c>
      <c r="P5" s="17">
        <f t="shared" si="8"/>
        <v>2.4699074074074068E-2</v>
      </c>
      <c r="Q5" s="17">
        <f t="shared" si="1"/>
        <v>7.7546296296299166E-4</v>
      </c>
      <c r="R5" s="17">
        <f t="shared" si="9"/>
        <v>0.1401736111111111</v>
      </c>
      <c r="S5" s="18">
        <v>0.14583333333333334</v>
      </c>
      <c r="T5" s="19">
        <f t="shared" si="10"/>
        <v>14.8</v>
      </c>
      <c r="U5" s="19">
        <f t="shared" si="11"/>
        <v>14.4</v>
      </c>
      <c r="V5" s="19">
        <f t="shared" si="12"/>
        <v>5</v>
      </c>
      <c r="W5" s="19">
        <f t="shared" si="13"/>
        <v>5</v>
      </c>
      <c r="X5" s="37">
        <v>10</v>
      </c>
      <c r="Y5" s="37">
        <v>8</v>
      </c>
      <c r="Z5" s="37">
        <v>4</v>
      </c>
      <c r="AA5" s="37">
        <v>4.5</v>
      </c>
      <c r="AB5" s="37">
        <v>2</v>
      </c>
      <c r="AC5" s="37">
        <f>3+3</f>
        <v>6</v>
      </c>
      <c r="AD5" s="37">
        <v>4</v>
      </c>
      <c r="AE5" s="37">
        <v>2</v>
      </c>
      <c r="AF5" s="37">
        <v>6</v>
      </c>
      <c r="AG5" s="37">
        <v>4</v>
      </c>
      <c r="AH5" s="37">
        <v>3</v>
      </c>
      <c r="AI5" s="37">
        <v>5</v>
      </c>
      <c r="AJ5" s="19">
        <f t="shared" si="14"/>
        <v>97.7</v>
      </c>
      <c r="AK5" s="33">
        <f t="shared" si="2"/>
        <v>2</v>
      </c>
      <c r="AM5">
        <f t="shared" si="3"/>
        <v>2</v>
      </c>
      <c r="AO5">
        <v>16.75</v>
      </c>
      <c r="AP5">
        <v>10.050000000000001</v>
      </c>
      <c r="AQ5">
        <v>11.55</v>
      </c>
      <c r="AR5">
        <v>10.8</v>
      </c>
      <c r="AS5" s="121">
        <f t="shared" si="15"/>
        <v>12.287500000000001</v>
      </c>
      <c r="AT5">
        <v>16.75</v>
      </c>
      <c r="AU5">
        <v>10.1</v>
      </c>
      <c r="AV5">
        <v>11.55</v>
      </c>
      <c r="AW5">
        <v>10.8</v>
      </c>
      <c r="AX5" s="121">
        <f t="shared" si="16"/>
        <v>12.3</v>
      </c>
      <c r="AY5">
        <v>15.55</v>
      </c>
      <c r="AZ5">
        <v>8.6999999999999993</v>
      </c>
      <c r="BA5">
        <v>10.1</v>
      </c>
      <c r="BB5">
        <v>10.45</v>
      </c>
      <c r="BC5" s="121">
        <f t="shared" si="4"/>
        <v>11.2</v>
      </c>
      <c r="BD5">
        <v>16</v>
      </c>
      <c r="BE5">
        <v>8.8000000000000007</v>
      </c>
      <c r="BF5">
        <v>10.6</v>
      </c>
      <c r="BG5">
        <v>10.3</v>
      </c>
      <c r="BH5" s="121">
        <f t="shared" si="5"/>
        <v>11.425000000000001</v>
      </c>
    </row>
    <row r="6" spans="1:60">
      <c r="A6" s="14" t="s">
        <v>118</v>
      </c>
      <c r="B6" s="14" t="s">
        <v>218</v>
      </c>
      <c r="C6" s="101" t="s">
        <v>264</v>
      </c>
      <c r="D6" s="101" t="s">
        <v>233</v>
      </c>
      <c r="E6" s="101">
        <v>4</v>
      </c>
      <c r="F6" s="16">
        <v>0.53333333333333299</v>
      </c>
      <c r="G6" s="16">
        <v>0.578587962962963</v>
      </c>
      <c r="H6" s="16">
        <v>0.65659722222222217</v>
      </c>
      <c r="I6" s="17">
        <f t="shared" si="6"/>
        <v>4.5254629629630005E-2</v>
      </c>
      <c r="J6" s="17">
        <f t="shared" si="0"/>
        <v>2.1759259259259922E-2</v>
      </c>
      <c r="K6" s="17">
        <f t="shared" si="7"/>
        <v>0.12326388888888917</v>
      </c>
      <c r="L6" s="18">
        <v>0.125</v>
      </c>
      <c r="M6" s="16">
        <v>0.27777777777777779</v>
      </c>
      <c r="N6" s="16">
        <v>0.31563657407407408</v>
      </c>
      <c r="O6" s="16">
        <v>0.43240740740740741</v>
      </c>
      <c r="P6" s="17">
        <f t="shared" si="8"/>
        <v>3.7858796296296293E-2</v>
      </c>
      <c r="Q6" s="17">
        <f t="shared" si="1"/>
        <v>1.3935185185185217E-2</v>
      </c>
      <c r="R6" s="17">
        <f t="shared" si="9"/>
        <v>0.15462962962962962</v>
      </c>
      <c r="S6" s="18">
        <v>0.14583333333333334</v>
      </c>
      <c r="T6" s="19">
        <f t="shared" si="10"/>
        <v>0</v>
      </c>
      <c r="U6" s="19">
        <f t="shared" si="11"/>
        <v>5</v>
      </c>
      <c r="V6" s="19">
        <f t="shared" si="12"/>
        <v>5</v>
      </c>
      <c r="W6" s="19">
        <f t="shared" si="13"/>
        <v>1.8</v>
      </c>
      <c r="X6" s="37">
        <v>7.1</v>
      </c>
      <c r="Y6" s="37">
        <v>7.2</v>
      </c>
      <c r="Z6" s="37">
        <v>2.8</v>
      </c>
      <c r="AA6" s="37">
        <v>0.3</v>
      </c>
      <c r="AB6" s="37">
        <v>1.6</v>
      </c>
      <c r="AC6" s="37">
        <f>3+1</f>
        <v>4</v>
      </c>
      <c r="AD6" s="37">
        <v>3</v>
      </c>
      <c r="AE6" s="37">
        <v>1.8</v>
      </c>
      <c r="AF6" s="37">
        <v>3.4</v>
      </c>
      <c r="AG6" s="37">
        <v>1.8</v>
      </c>
      <c r="AH6" s="37">
        <v>2</v>
      </c>
      <c r="AI6" s="37">
        <v>5</v>
      </c>
      <c r="AJ6" s="19">
        <f t="shared" si="14"/>
        <v>51.79999999999999</v>
      </c>
      <c r="AK6" s="33">
        <f t="shared" si="2"/>
        <v>5</v>
      </c>
      <c r="AM6">
        <f t="shared" si="3"/>
        <v>5</v>
      </c>
      <c r="AO6">
        <v>13.85</v>
      </c>
      <c r="AP6">
        <v>14.4</v>
      </c>
      <c r="AQ6">
        <v>13.1</v>
      </c>
      <c r="AR6">
        <v>14.8</v>
      </c>
      <c r="AS6" s="121">
        <f t="shared" si="15"/>
        <v>14.037500000000001</v>
      </c>
      <c r="AT6">
        <v>14.85</v>
      </c>
      <c r="AU6">
        <v>14.2</v>
      </c>
      <c r="AV6">
        <v>12.7</v>
      </c>
      <c r="AW6">
        <v>13.25</v>
      </c>
      <c r="AX6" s="121">
        <f t="shared" si="16"/>
        <v>13.75</v>
      </c>
      <c r="AY6">
        <v>12.15</v>
      </c>
      <c r="AZ6">
        <v>12.1</v>
      </c>
      <c r="BA6">
        <v>12.1</v>
      </c>
      <c r="BB6">
        <v>12.3</v>
      </c>
      <c r="BC6" s="121">
        <f t="shared" si="4"/>
        <v>12.162500000000001</v>
      </c>
      <c r="BD6">
        <v>12.6</v>
      </c>
      <c r="BE6">
        <v>12.8</v>
      </c>
      <c r="BF6">
        <v>12.8</v>
      </c>
      <c r="BG6">
        <v>12.8</v>
      </c>
      <c r="BH6" s="121">
        <f t="shared" si="5"/>
        <v>12.75</v>
      </c>
    </row>
    <row r="7" spans="1:60">
      <c r="A7" s="14" t="s">
        <v>118</v>
      </c>
      <c r="B7" s="14" t="s">
        <v>213</v>
      </c>
      <c r="C7" s="101" t="s">
        <v>265</v>
      </c>
      <c r="D7" s="101" t="s">
        <v>22</v>
      </c>
      <c r="E7" s="101">
        <v>4</v>
      </c>
      <c r="F7" s="16">
        <v>0.53402777777777799</v>
      </c>
      <c r="G7" s="16">
        <v>0.58355324074074078</v>
      </c>
      <c r="H7" s="16">
        <v>0.66440972222222217</v>
      </c>
      <c r="I7" s="17">
        <f t="shared" si="6"/>
        <v>4.9525462962962785E-2</v>
      </c>
      <c r="J7" s="17">
        <f t="shared" si="0"/>
        <v>2.6030092592592702E-2</v>
      </c>
      <c r="K7" s="17">
        <f t="shared" si="7"/>
        <v>0.13038194444444418</v>
      </c>
      <c r="L7" s="18">
        <v>0.125</v>
      </c>
      <c r="M7" s="16">
        <v>0.27986111111111112</v>
      </c>
      <c r="N7" s="16">
        <v>0.32885416666666667</v>
      </c>
      <c r="O7" s="16">
        <v>0.45306712962962964</v>
      </c>
      <c r="P7" s="17">
        <f t="shared" si="8"/>
        <v>4.8993055555555554E-2</v>
      </c>
      <c r="Q7" s="17">
        <f t="shared" si="1"/>
        <v>2.5069444444444478E-2</v>
      </c>
      <c r="R7" s="17">
        <f t="shared" si="9"/>
        <v>0.17320601851851852</v>
      </c>
      <c r="S7" s="18">
        <v>0.14583333333333334</v>
      </c>
      <c r="T7" s="19">
        <f t="shared" si="10"/>
        <v>0</v>
      </c>
      <c r="U7" s="19">
        <f t="shared" si="11"/>
        <v>0</v>
      </c>
      <c r="V7" s="19">
        <f t="shared" si="12"/>
        <v>3.1</v>
      </c>
      <c r="W7" s="19">
        <f t="shared" si="13"/>
        <v>0</v>
      </c>
      <c r="X7" s="37">
        <v>8.1</v>
      </c>
      <c r="Y7" s="37">
        <v>5</v>
      </c>
      <c r="Z7" s="37">
        <v>4</v>
      </c>
      <c r="AA7" s="37">
        <v>1.5</v>
      </c>
      <c r="AB7" s="37">
        <v>1.6</v>
      </c>
      <c r="AC7" s="37">
        <f>1+1</f>
        <v>2</v>
      </c>
      <c r="AD7" s="37">
        <v>3.6</v>
      </c>
      <c r="AE7" s="37">
        <v>1.6</v>
      </c>
      <c r="AF7" s="37">
        <v>5.2</v>
      </c>
      <c r="AG7" s="37">
        <v>2.2000000000000002</v>
      </c>
      <c r="AH7" s="37">
        <v>3</v>
      </c>
      <c r="AI7" s="37">
        <v>5</v>
      </c>
      <c r="AJ7" s="19">
        <f t="shared" si="14"/>
        <v>45.900000000000006</v>
      </c>
      <c r="AK7" s="33">
        <f t="shared" si="2"/>
        <v>6</v>
      </c>
      <c r="AM7">
        <f t="shared" si="3"/>
        <v>8</v>
      </c>
      <c r="AO7">
        <v>20.399999999999999</v>
      </c>
      <c r="AP7">
        <v>12.05</v>
      </c>
      <c r="AQ7">
        <v>17.75</v>
      </c>
      <c r="AR7">
        <v>15.15</v>
      </c>
      <c r="AS7" s="121">
        <f t="shared" si="15"/>
        <v>16.337500000000002</v>
      </c>
      <c r="AT7">
        <v>21.5</v>
      </c>
      <c r="AU7">
        <v>11.6</v>
      </c>
      <c r="AV7">
        <v>17.55</v>
      </c>
      <c r="AW7">
        <v>14.6</v>
      </c>
      <c r="AX7" s="121">
        <f t="shared" si="16"/>
        <v>16.3125</v>
      </c>
      <c r="AY7">
        <v>15.15</v>
      </c>
      <c r="AZ7">
        <v>12.15</v>
      </c>
      <c r="BA7">
        <v>13.2</v>
      </c>
      <c r="BB7">
        <v>20.75</v>
      </c>
      <c r="BC7" s="121">
        <f t="shared" si="4"/>
        <v>15.3125</v>
      </c>
      <c r="BD7">
        <v>21</v>
      </c>
      <c r="BE7">
        <v>16</v>
      </c>
      <c r="BF7">
        <v>12</v>
      </c>
      <c r="BG7">
        <v>13.1</v>
      </c>
      <c r="BH7" s="121">
        <f t="shared" si="5"/>
        <v>15.525</v>
      </c>
    </row>
    <row r="8" spans="1:60">
      <c r="A8" s="14" t="s">
        <v>118</v>
      </c>
      <c r="B8" s="14" t="s">
        <v>179</v>
      </c>
      <c r="C8" s="101" t="s">
        <v>266</v>
      </c>
      <c r="D8" s="101" t="s">
        <v>236</v>
      </c>
      <c r="E8" s="101">
        <v>4</v>
      </c>
      <c r="F8" s="16">
        <v>0.53472222222222199</v>
      </c>
      <c r="G8" s="16">
        <v>0.57019675925925928</v>
      </c>
      <c r="H8" s="16">
        <v>0.66302083333333328</v>
      </c>
      <c r="I8" s="17">
        <f t="shared" si="6"/>
        <v>3.547453703703729E-2</v>
      </c>
      <c r="J8" s="17">
        <f t="shared" si="0"/>
        <v>1.1979166666667207E-2</v>
      </c>
      <c r="K8" s="17">
        <f t="shared" si="7"/>
        <v>0.12829861111111129</v>
      </c>
      <c r="L8" s="18">
        <v>0.125</v>
      </c>
      <c r="M8" s="16">
        <v>0.27708333333333335</v>
      </c>
      <c r="N8" s="16">
        <v>0.31428240740740737</v>
      </c>
      <c r="O8" s="16">
        <v>0.4375</v>
      </c>
      <c r="P8" s="17">
        <f t="shared" si="8"/>
        <v>3.7199074074074023E-2</v>
      </c>
      <c r="Q8" s="17">
        <f t="shared" si="1"/>
        <v>1.3275462962962947E-2</v>
      </c>
      <c r="R8" s="17">
        <f t="shared" si="9"/>
        <v>0.16041666666666665</v>
      </c>
      <c r="S8" s="18">
        <v>0.14583333333333334</v>
      </c>
      <c r="T8" s="19">
        <f t="shared" si="10"/>
        <v>6.4</v>
      </c>
      <c r="U8" s="19">
        <f t="shared" si="11"/>
        <v>5.4</v>
      </c>
      <c r="V8" s="19">
        <f t="shared" si="12"/>
        <v>3.8</v>
      </c>
      <c r="W8" s="19">
        <f t="shared" si="13"/>
        <v>0</v>
      </c>
      <c r="X8" s="37">
        <v>9.8000000000000007</v>
      </c>
      <c r="Y8" s="37">
        <v>8</v>
      </c>
      <c r="Z8" s="37">
        <v>4</v>
      </c>
      <c r="AA8" s="37">
        <v>1.3</v>
      </c>
      <c r="AB8" s="37">
        <v>2</v>
      </c>
      <c r="AC8" s="37">
        <f>3+2.5</f>
        <v>5.5</v>
      </c>
      <c r="AD8" s="37">
        <v>1.4</v>
      </c>
      <c r="AE8" s="37">
        <v>1.8</v>
      </c>
      <c r="AF8" s="37">
        <v>5.8</v>
      </c>
      <c r="AG8" s="37">
        <v>1.5</v>
      </c>
      <c r="AH8" s="37">
        <v>3</v>
      </c>
      <c r="AI8" s="37">
        <v>5</v>
      </c>
      <c r="AJ8" s="19">
        <f t="shared" si="14"/>
        <v>64.699999999999989</v>
      </c>
      <c r="AK8" s="33">
        <f t="shared" si="2"/>
        <v>4</v>
      </c>
      <c r="AM8">
        <f t="shared" si="3"/>
        <v>4</v>
      </c>
      <c r="AO8">
        <v>12.9</v>
      </c>
      <c r="AP8">
        <v>12.8</v>
      </c>
      <c r="AQ8">
        <v>12.9</v>
      </c>
      <c r="AR8">
        <v>11.95</v>
      </c>
      <c r="AS8" s="121">
        <f t="shared" si="15"/>
        <v>12.637499999999999</v>
      </c>
      <c r="AT8">
        <v>12.75</v>
      </c>
      <c r="AU8">
        <v>12.8</v>
      </c>
      <c r="AV8">
        <v>12.3</v>
      </c>
      <c r="AW8">
        <v>11.9</v>
      </c>
      <c r="AX8" s="121">
        <f t="shared" si="16"/>
        <v>12.4375</v>
      </c>
      <c r="AY8">
        <v>12.85</v>
      </c>
      <c r="AZ8">
        <v>10.55</v>
      </c>
      <c r="BA8">
        <v>9.5</v>
      </c>
      <c r="BB8">
        <v>12.15</v>
      </c>
      <c r="BC8" s="121">
        <f t="shared" si="4"/>
        <v>11.262499999999999</v>
      </c>
      <c r="BD8">
        <v>13.1</v>
      </c>
      <c r="BE8">
        <v>9.6999999999999993</v>
      </c>
      <c r="BF8">
        <v>10.4</v>
      </c>
      <c r="BG8">
        <v>12.6</v>
      </c>
      <c r="BH8" s="121">
        <f t="shared" si="5"/>
        <v>11.45</v>
      </c>
    </row>
    <row r="9" spans="1:60">
      <c r="A9" s="14" t="s">
        <v>118</v>
      </c>
      <c r="B9" s="14" t="s">
        <v>123</v>
      </c>
      <c r="C9" s="101" t="s">
        <v>267</v>
      </c>
      <c r="D9" s="101" t="s">
        <v>229</v>
      </c>
      <c r="E9" s="101">
        <v>4</v>
      </c>
      <c r="F9" s="16">
        <v>0.53541666666666698</v>
      </c>
      <c r="G9" s="16">
        <v>0.55891203703703707</v>
      </c>
      <c r="H9" s="16">
        <v>0.65092592592592591</v>
      </c>
      <c r="I9" s="17">
        <f t="shared" si="6"/>
        <v>2.3495370370370083E-2</v>
      </c>
      <c r="J9" s="17">
        <f t="shared" si="0"/>
        <v>0</v>
      </c>
      <c r="K9" s="17">
        <f t="shared" si="7"/>
        <v>0.11550925925925892</v>
      </c>
      <c r="L9" s="18">
        <v>0.125</v>
      </c>
      <c r="M9" s="16">
        <v>0.27500000000000002</v>
      </c>
      <c r="N9" s="16">
        <v>0.2989236111111111</v>
      </c>
      <c r="O9" s="16">
        <v>0.41692129629629626</v>
      </c>
      <c r="P9" s="17">
        <f t="shared" si="8"/>
        <v>2.3923611111111076E-2</v>
      </c>
      <c r="Q9" s="17">
        <f t="shared" si="1"/>
        <v>0</v>
      </c>
      <c r="R9" s="17">
        <f t="shared" si="9"/>
        <v>0.14192129629629624</v>
      </c>
      <c r="S9" s="18">
        <v>0.14583333333333334</v>
      </c>
      <c r="T9" s="19">
        <f t="shared" si="10"/>
        <v>15</v>
      </c>
      <c r="U9" s="19">
        <f t="shared" si="11"/>
        <v>15</v>
      </c>
      <c r="V9" s="19">
        <f t="shared" si="12"/>
        <v>5</v>
      </c>
      <c r="W9" s="19">
        <f t="shared" si="13"/>
        <v>5</v>
      </c>
      <c r="X9" s="37">
        <v>10</v>
      </c>
      <c r="Y9" s="37">
        <v>8</v>
      </c>
      <c r="Z9" s="37">
        <v>4</v>
      </c>
      <c r="AA9" s="37">
        <v>4.7</v>
      </c>
      <c r="AB9" s="37">
        <v>2</v>
      </c>
      <c r="AC9" s="37">
        <f>4+3</f>
        <v>7</v>
      </c>
      <c r="AD9" s="37">
        <v>3.8</v>
      </c>
      <c r="AE9" s="37">
        <v>2</v>
      </c>
      <c r="AF9" s="37">
        <v>5.7</v>
      </c>
      <c r="AG9" s="37">
        <v>4</v>
      </c>
      <c r="AH9" s="37">
        <v>3</v>
      </c>
      <c r="AI9" s="37">
        <v>5</v>
      </c>
      <c r="AJ9" s="19">
        <f t="shared" si="14"/>
        <v>99.2</v>
      </c>
      <c r="AK9" s="33">
        <f t="shared" si="2"/>
        <v>1</v>
      </c>
      <c r="AM9">
        <f t="shared" si="3"/>
        <v>1</v>
      </c>
      <c r="AO9">
        <v>14.45</v>
      </c>
      <c r="AP9">
        <v>12.3</v>
      </c>
      <c r="AQ9">
        <v>12.35</v>
      </c>
      <c r="AR9">
        <v>9.15</v>
      </c>
      <c r="AS9" s="121">
        <f t="shared" si="15"/>
        <v>12.0625</v>
      </c>
      <c r="AT9">
        <v>12.35</v>
      </c>
      <c r="AU9">
        <v>9.0500000000000007</v>
      </c>
      <c r="AV9">
        <v>12.55</v>
      </c>
      <c r="AW9">
        <v>14.55</v>
      </c>
      <c r="AX9" s="121">
        <f t="shared" si="16"/>
        <v>12.125</v>
      </c>
      <c r="AY9">
        <v>12.2</v>
      </c>
      <c r="AZ9">
        <v>12.1</v>
      </c>
      <c r="BA9">
        <v>12.25</v>
      </c>
      <c r="BB9">
        <v>8.6</v>
      </c>
      <c r="BC9" s="121">
        <f t="shared" si="4"/>
        <v>11.2875</v>
      </c>
      <c r="BD9">
        <v>12.1</v>
      </c>
      <c r="BE9">
        <v>12.7</v>
      </c>
      <c r="BF9">
        <v>8.5</v>
      </c>
      <c r="BG9">
        <v>13</v>
      </c>
      <c r="BH9" s="121">
        <f t="shared" si="5"/>
        <v>11.574999999999999</v>
      </c>
    </row>
    <row r="10" spans="1:60" s="60" customFormat="1" ht="14.25" thickBot="1">
      <c r="A10" s="52" t="s">
        <v>118</v>
      </c>
      <c r="B10" s="52" t="s">
        <v>129</v>
      </c>
      <c r="C10" s="108" t="s">
        <v>268</v>
      </c>
      <c r="D10" s="108" t="s">
        <v>238</v>
      </c>
      <c r="E10" s="109">
        <v>4</v>
      </c>
      <c r="F10" s="54">
        <v>0.53611111111111098</v>
      </c>
      <c r="G10" s="54">
        <v>0.5849537037037037</v>
      </c>
      <c r="H10" s="54">
        <v>0.66967592592592595</v>
      </c>
      <c r="I10" s="55">
        <f t="shared" si="6"/>
        <v>4.8842592592592715E-2</v>
      </c>
      <c r="J10" s="55">
        <f t="shared" si="0"/>
        <v>2.5347222222222632E-2</v>
      </c>
      <c r="K10" s="55">
        <f t="shared" si="7"/>
        <v>0.13356481481481497</v>
      </c>
      <c r="L10" s="56">
        <v>0.125</v>
      </c>
      <c r="M10" s="54">
        <v>0.27916666666666667</v>
      </c>
      <c r="N10" s="54">
        <v>0.3213657407407407</v>
      </c>
      <c r="O10" s="54">
        <v>0.45214120370370375</v>
      </c>
      <c r="P10" s="55">
        <f t="shared" si="8"/>
        <v>4.2199074074074028E-2</v>
      </c>
      <c r="Q10" s="55">
        <f t="shared" si="1"/>
        <v>1.8275462962962952E-2</v>
      </c>
      <c r="R10" s="55">
        <f t="shared" si="9"/>
        <v>0.17297453703703708</v>
      </c>
      <c r="S10" s="56">
        <v>0.14583333333333334</v>
      </c>
      <c r="T10" s="57">
        <f t="shared" si="10"/>
        <v>0</v>
      </c>
      <c r="U10" s="57">
        <f t="shared" si="11"/>
        <v>1.8</v>
      </c>
      <c r="V10" s="57">
        <f t="shared" si="12"/>
        <v>1.9</v>
      </c>
      <c r="W10" s="57">
        <f t="shared" si="13"/>
        <v>0</v>
      </c>
      <c r="X10" s="58">
        <v>6.9</v>
      </c>
      <c r="Y10" s="58">
        <v>6.9</v>
      </c>
      <c r="Z10" s="58">
        <v>2.8</v>
      </c>
      <c r="AA10" s="58">
        <v>2</v>
      </c>
      <c r="AB10" s="58">
        <v>1.4</v>
      </c>
      <c r="AC10" s="58">
        <f>1+1</f>
        <v>2</v>
      </c>
      <c r="AD10" s="58">
        <v>2.2000000000000002</v>
      </c>
      <c r="AE10" s="58">
        <v>1.8</v>
      </c>
      <c r="AF10" s="58">
        <v>4.8</v>
      </c>
      <c r="AG10" s="58">
        <v>2</v>
      </c>
      <c r="AH10" s="58">
        <v>3</v>
      </c>
      <c r="AI10" s="58">
        <f>5-2-1.5</f>
        <v>1.5</v>
      </c>
      <c r="AJ10" s="57">
        <f t="shared" si="14"/>
        <v>41</v>
      </c>
      <c r="AK10" s="59">
        <f t="shared" si="2"/>
        <v>8</v>
      </c>
      <c r="AL10" s="60" t="s">
        <v>293</v>
      </c>
      <c r="AM10">
        <f t="shared" si="3"/>
        <v>7</v>
      </c>
      <c r="AN10"/>
      <c r="AO10" s="60">
        <v>13.4</v>
      </c>
      <c r="AP10" s="60">
        <v>18.05</v>
      </c>
      <c r="AQ10" s="60">
        <v>15.15</v>
      </c>
      <c r="AR10" s="60">
        <v>18.95</v>
      </c>
      <c r="AS10" s="121">
        <f t="shared" si="15"/>
        <v>16.387499999999999</v>
      </c>
      <c r="AT10" s="60">
        <v>16.55</v>
      </c>
      <c r="AU10" s="60">
        <v>13.35</v>
      </c>
      <c r="AV10" s="60">
        <v>19.850000000000001</v>
      </c>
      <c r="AW10" s="60">
        <v>14.85</v>
      </c>
      <c r="AX10" s="121">
        <f t="shared" si="16"/>
        <v>16.149999999999999</v>
      </c>
      <c r="AY10" s="60">
        <v>14.55</v>
      </c>
      <c r="AZ10" s="60">
        <v>17.399999999999999</v>
      </c>
      <c r="BA10" s="60">
        <v>13.05</v>
      </c>
      <c r="BB10" s="60">
        <v>13.2</v>
      </c>
      <c r="BC10" s="121">
        <f t="shared" si="4"/>
        <v>14.55</v>
      </c>
      <c r="BD10" s="60">
        <v>15.8</v>
      </c>
      <c r="BE10" s="60">
        <v>17</v>
      </c>
      <c r="BF10" s="60">
        <v>12</v>
      </c>
      <c r="BG10" s="60">
        <v>12.8</v>
      </c>
      <c r="BH10" s="121">
        <f t="shared" si="5"/>
        <v>14.399999999999999</v>
      </c>
    </row>
    <row r="11" spans="1:60" ht="14.25" thickTop="1">
      <c r="A11" s="44" t="s">
        <v>119</v>
      </c>
      <c r="B11" s="44" t="s">
        <v>220</v>
      </c>
      <c r="C11" s="107" t="s">
        <v>269</v>
      </c>
      <c r="D11" s="107" t="s">
        <v>224</v>
      </c>
      <c r="E11" s="107">
        <v>3</v>
      </c>
      <c r="F11" s="46">
        <v>0.53680555555555598</v>
      </c>
      <c r="G11" s="46">
        <v>0.56353009259259257</v>
      </c>
      <c r="H11" s="46">
        <v>0.65133101851851849</v>
      </c>
      <c r="I11" s="47">
        <f t="shared" si="6"/>
        <v>2.6724537037036589E-2</v>
      </c>
      <c r="J11" s="47">
        <f t="shared" si="0"/>
        <v>3.2291666666665053E-3</v>
      </c>
      <c r="K11" s="47">
        <f t="shared" si="7"/>
        <v>0.11452546296296251</v>
      </c>
      <c r="L11" s="48">
        <v>0.125</v>
      </c>
      <c r="M11" s="46">
        <v>0.28125</v>
      </c>
      <c r="N11" s="46">
        <v>0.30881944444444448</v>
      </c>
      <c r="O11" s="46">
        <v>0.42696759259259259</v>
      </c>
      <c r="P11" s="47">
        <f t="shared" si="8"/>
        <v>2.756944444444448E-2</v>
      </c>
      <c r="Q11" s="47">
        <f t="shared" si="1"/>
        <v>3.6458333333334036E-3</v>
      </c>
      <c r="R11" s="47">
        <f t="shared" si="9"/>
        <v>0.14571759259259259</v>
      </c>
      <c r="S11" s="48">
        <v>0.14583333333333334</v>
      </c>
      <c r="T11" s="49">
        <f t="shared" si="10"/>
        <v>12.7</v>
      </c>
      <c r="U11" s="49">
        <f t="shared" si="11"/>
        <v>12.4</v>
      </c>
      <c r="V11" s="49">
        <f t="shared" si="12"/>
        <v>5</v>
      </c>
      <c r="W11" s="49">
        <f t="shared" si="13"/>
        <v>5</v>
      </c>
      <c r="X11" s="50">
        <v>10</v>
      </c>
      <c r="Y11" s="50">
        <v>8</v>
      </c>
      <c r="Z11" s="50">
        <v>4</v>
      </c>
      <c r="AA11" s="50">
        <v>2.9</v>
      </c>
      <c r="AB11" s="50">
        <v>2</v>
      </c>
      <c r="AC11" s="50">
        <f>4+3</f>
        <v>7</v>
      </c>
      <c r="AD11" s="50">
        <v>4</v>
      </c>
      <c r="AE11" s="50">
        <v>2</v>
      </c>
      <c r="AF11" s="50">
        <v>6</v>
      </c>
      <c r="AG11" s="50">
        <v>4</v>
      </c>
      <c r="AH11" s="50">
        <v>3</v>
      </c>
      <c r="AI11" s="50">
        <v>5</v>
      </c>
      <c r="AJ11" s="49">
        <f t="shared" si="14"/>
        <v>93</v>
      </c>
      <c r="AK11" s="33">
        <f t="shared" ref="AK11:AK18" si="17">RANK(AJ11,$AJ$11:$AJ$18)</f>
        <v>1</v>
      </c>
      <c r="AM11">
        <f>RANK(J11,$J$11:$J$18,1)</f>
        <v>2</v>
      </c>
      <c r="AO11" s="81">
        <v>12.1</v>
      </c>
      <c r="AP11" s="81">
        <v>12.7</v>
      </c>
      <c r="AQ11" s="81">
        <v>14.15</v>
      </c>
      <c r="AS11" s="121">
        <f t="shared" si="15"/>
        <v>12.983333333333333</v>
      </c>
      <c r="AT11" s="81">
        <v>14.2</v>
      </c>
      <c r="AU11" s="81">
        <v>12.55</v>
      </c>
      <c r="AV11" s="81">
        <v>12.1</v>
      </c>
      <c r="AX11" s="121">
        <f t="shared" si="16"/>
        <v>12.950000000000001</v>
      </c>
      <c r="AY11" s="81">
        <v>11.75</v>
      </c>
      <c r="AZ11" s="81">
        <v>10.6</v>
      </c>
      <c r="BA11" s="81">
        <v>14.55</v>
      </c>
      <c r="BC11" s="121">
        <f t="shared" si="4"/>
        <v>12.300000000000002</v>
      </c>
      <c r="BD11" s="81">
        <v>14.4</v>
      </c>
      <c r="BE11" s="81">
        <v>10.7</v>
      </c>
      <c r="BF11" s="81">
        <v>12.2</v>
      </c>
      <c r="BH11" s="121">
        <f t="shared" si="5"/>
        <v>12.433333333333332</v>
      </c>
    </row>
    <row r="12" spans="1:60">
      <c r="A12" s="14" t="s">
        <v>119</v>
      </c>
      <c r="B12" s="14" t="s">
        <v>230</v>
      </c>
      <c r="C12" s="107" t="s">
        <v>270</v>
      </c>
      <c r="D12" s="101" t="s">
        <v>229</v>
      </c>
      <c r="E12" s="101">
        <v>3</v>
      </c>
      <c r="F12" s="16">
        <v>0.53749999999999998</v>
      </c>
      <c r="G12" s="16">
        <v>0.56736111111111109</v>
      </c>
      <c r="H12" s="16">
        <v>0.66226851851851853</v>
      </c>
      <c r="I12" s="17">
        <f>G12-F12</f>
        <v>2.9861111111111116E-2</v>
      </c>
      <c r="J12" s="17">
        <f t="shared" si="0"/>
        <v>6.3657407407410327E-3</v>
      </c>
      <c r="K12" s="17">
        <f>H12-F12</f>
        <v>0.12476851851851856</v>
      </c>
      <c r="L12" s="18">
        <v>0.125</v>
      </c>
      <c r="M12" s="16">
        <v>0.28402777777777777</v>
      </c>
      <c r="N12" s="16">
        <v>0.3122685185185185</v>
      </c>
      <c r="O12" s="16">
        <v>0.43292824074074071</v>
      </c>
      <c r="P12" s="17">
        <f>N12-M12</f>
        <v>2.8240740740740733E-2</v>
      </c>
      <c r="Q12" s="17">
        <f t="shared" si="1"/>
        <v>4.3171296296296569E-3</v>
      </c>
      <c r="R12" s="17">
        <f>O12-M12</f>
        <v>0.14890046296296294</v>
      </c>
      <c r="S12" s="18">
        <v>0.14583333333333334</v>
      </c>
      <c r="T12" s="19">
        <f>ROUND(MAX(T$2-J12*60*24*0.5,0),1)</f>
        <v>10.4</v>
      </c>
      <c r="U12" s="19">
        <f>ROUND(MAX(U$2-Q12*60*24*0.5,0),1)</f>
        <v>11.9</v>
      </c>
      <c r="V12" s="19">
        <f>ROUND(MAX(MIN(V$2+(L12-K12)*60*24*0.25,$V$2),0),1)</f>
        <v>5</v>
      </c>
      <c r="W12" s="19">
        <f>ROUND(MAX(MIN($W$2+(S12-R12)*60*24*0.25,$W$2),0),1)</f>
        <v>3.9</v>
      </c>
      <c r="X12" s="37">
        <v>10</v>
      </c>
      <c r="Y12" s="37">
        <v>7.6</v>
      </c>
      <c r="Z12" s="37">
        <v>4</v>
      </c>
      <c r="AA12" s="37">
        <v>4</v>
      </c>
      <c r="AB12" s="37">
        <v>2</v>
      </c>
      <c r="AC12" s="37">
        <f>2+2.5</f>
        <v>4.5</v>
      </c>
      <c r="AD12" s="37">
        <v>3.6</v>
      </c>
      <c r="AE12" s="37">
        <v>1.8</v>
      </c>
      <c r="AF12" s="37">
        <v>6</v>
      </c>
      <c r="AG12" s="37">
        <v>0</v>
      </c>
      <c r="AH12" s="37">
        <v>3</v>
      </c>
      <c r="AI12" s="37">
        <f>5-0.5</f>
        <v>4.5</v>
      </c>
      <c r="AJ12" s="19">
        <f>SUM(T12:AI12)</f>
        <v>82.2</v>
      </c>
      <c r="AK12" s="33">
        <f t="shared" si="17"/>
        <v>4</v>
      </c>
      <c r="AL12" s="22" t="s">
        <v>290</v>
      </c>
      <c r="AM12">
        <f t="shared" ref="AM12:AM18" si="18">RANK(J12,$J$11:$J$18,1)</f>
        <v>6</v>
      </c>
      <c r="AO12" s="81">
        <v>12.9</v>
      </c>
      <c r="AP12" s="81">
        <v>12.35</v>
      </c>
      <c r="AQ12" s="81">
        <v>10.8</v>
      </c>
      <c r="AR12" s="81">
        <v>12.25</v>
      </c>
      <c r="AS12" s="121">
        <f t="shared" si="15"/>
        <v>12.074999999999999</v>
      </c>
      <c r="AT12" s="81">
        <v>11.35</v>
      </c>
      <c r="AU12" s="81">
        <v>13</v>
      </c>
      <c r="AV12" s="81">
        <v>12.55</v>
      </c>
      <c r="AW12" s="81">
        <v>11.6</v>
      </c>
      <c r="AX12" s="121">
        <f t="shared" si="16"/>
        <v>12.125000000000002</v>
      </c>
      <c r="AY12" s="81">
        <v>13.7</v>
      </c>
      <c r="AZ12" s="81">
        <v>14.3</v>
      </c>
      <c r="BA12" s="81">
        <v>10.75</v>
      </c>
      <c r="BB12" s="81">
        <v>9.4499999999999993</v>
      </c>
      <c r="BC12" s="121">
        <f t="shared" si="4"/>
        <v>12.05</v>
      </c>
      <c r="BD12" s="81">
        <v>11.6</v>
      </c>
      <c r="BE12" s="81">
        <v>14.8</v>
      </c>
      <c r="BF12" s="81">
        <v>13.6</v>
      </c>
      <c r="BG12" s="81">
        <v>10</v>
      </c>
      <c r="BH12" s="121">
        <f t="shared" si="5"/>
        <v>12.5</v>
      </c>
    </row>
    <row r="13" spans="1:60">
      <c r="A13" s="14" t="s">
        <v>119</v>
      </c>
      <c r="B13" s="14" t="s">
        <v>182</v>
      </c>
      <c r="C13" s="107" t="s">
        <v>271</v>
      </c>
      <c r="D13" s="101" t="s">
        <v>237</v>
      </c>
      <c r="E13" s="101">
        <v>3</v>
      </c>
      <c r="F13" s="16">
        <v>0.53819444444444398</v>
      </c>
      <c r="G13" s="16">
        <v>0.58471064814814822</v>
      </c>
      <c r="H13" s="16">
        <v>0.66585648148148147</v>
      </c>
      <c r="I13" s="17">
        <f>G13-F13</f>
        <v>4.651620370370424E-2</v>
      </c>
      <c r="J13" s="17">
        <f t="shared" si="0"/>
        <v>2.3020833333334156E-2</v>
      </c>
      <c r="K13" s="17">
        <f>H13-F13</f>
        <v>0.12766203703703749</v>
      </c>
      <c r="L13" s="18">
        <v>0.125</v>
      </c>
      <c r="M13" s="16">
        <v>0.28541666666666665</v>
      </c>
      <c r="N13" s="16">
        <v>0.33134259259259258</v>
      </c>
      <c r="O13" s="16">
        <v>0.44809027777777777</v>
      </c>
      <c r="P13" s="17">
        <f>N13-M13</f>
        <v>4.5925925925925926E-2</v>
      </c>
      <c r="Q13" s="17">
        <f t="shared" si="1"/>
        <v>2.200231481481485E-2</v>
      </c>
      <c r="R13" s="17">
        <f>O13-M13</f>
        <v>0.16267361111111112</v>
      </c>
      <c r="S13" s="18">
        <v>0.14583333333333334</v>
      </c>
      <c r="T13" s="19">
        <f>ROUND(MAX(T$2-J13*60*24*0.5,0),1)</f>
        <v>0</v>
      </c>
      <c r="U13" s="19">
        <f>ROUND(MAX(U$2-Q13*60*24*0.5,0),1)</f>
        <v>0</v>
      </c>
      <c r="V13" s="19">
        <f>ROUND(MAX(MIN(V$2+(L13-K13)*60*24*0.25,$V$2),0),1)</f>
        <v>4</v>
      </c>
      <c r="W13" s="19">
        <f>ROUND(MAX(MIN($W$2+(S13-R13)*60*24*0.25,$W$2),0),1)</f>
        <v>0</v>
      </c>
      <c r="X13" s="37">
        <v>8.8000000000000007</v>
      </c>
      <c r="Y13" s="37">
        <v>6.7</v>
      </c>
      <c r="Z13" s="37">
        <v>4</v>
      </c>
      <c r="AA13" s="37">
        <v>0</v>
      </c>
      <c r="AB13" s="37">
        <v>1.2</v>
      </c>
      <c r="AC13" s="37">
        <f>0+0</f>
        <v>0</v>
      </c>
      <c r="AD13" s="37">
        <v>2.2000000000000002</v>
      </c>
      <c r="AE13" s="37">
        <v>2</v>
      </c>
      <c r="AF13" s="37">
        <v>4.4000000000000004</v>
      </c>
      <c r="AG13" s="37">
        <v>1.2</v>
      </c>
      <c r="AH13" s="37">
        <v>1.8</v>
      </c>
      <c r="AI13" s="37">
        <f>5-0.5</f>
        <v>4.5</v>
      </c>
      <c r="AJ13" s="19">
        <f>SUM(T13:AI13)</f>
        <v>40.799999999999997</v>
      </c>
      <c r="AK13" s="33">
        <f t="shared" si="17"/>
        <v>8</v>
      </c>
      <c r="AL13" s="22" t="s">
        <v>290</v>
      </c>
      <c r="AM13">
        <f t="shared" si="18"/>
        <v>8</v>
      </c>
      <c r="AO13" s="81">
        <v>13</v>
      </c>
      <c r="AP13" s="81">
        <v>13.85</v>
      </c>
      <c r="AQ13" s="81">
        <v>14.25</v>
      </c>
      <c r="AR13" s="81">
        <v>15.5</v>
      </c>
      <c r="AS13" s="121">
        <f t="shared" si="15"/>
        <v>14.15</v>
      </c>
      <c r="AT13" s="81">
        <v>15.65</v>
      </c>
      <c r="AU13" s="81">
        <v>13.1</v>
      </c>
      <c r="AV13" s="81">
        <v>12</v>
      </c>
      <c r="AW13" s="81">
        <v>15.05</v>
      </c>
      <c r="AX13" s="121">
        <f t="shared" si="16"/>
        <v>13.95</v>
      </c>
      <c r="AY13" s="81">
        <v>12.8</v>
      </c>
      <c r="AZ13" s="81">
        <v>12.7</v>
      </c>
      <c r="BA13" s="81">
        <v>12.45</v>
      </c>
      <c r="BB13" s="81">
        <v>11.9</v>
      </c>
      <c r="BC13" s="121">
        <f t="shared" si="4"/>
        <v>12.4625</v>
      </c>
      <c r="BD13" s="81">
        <v>13.7</v>
      </c>
      <c r="BE13" s="81">
        <v>11.1</v>
      </c>
      <c r="BF13" s="81">
        <v>11.4</v>
      </c>
      <c r="BG13" s="81">
        <v>12.3</v>
      </c>
      <c r="BH13" s="121">
        <f t="shared" si="5"/>
        <v>12.125</v>
      </c>
    </row>
    <row r="14" spans="1:60">
      <c r="A14" s="14" t="s">
        <v>119</v>
      </c>
      <c r="B14" s="14" t="s">
        <v>221</v>
      </c>
      <c r="C14" s="107" t="s">
        <v>272</v>
      </c>
      <c r="D14" s="101" t="s">
        <v>224</v>
      </c>
      <c r="E14" s="101">
        <v>3</v>
      </c>
      <c r="F14" s="16">
        <v>0.53888888888888897</v>
      </c>
      <c r="G14" s="16">
        <v>0.56747685185185182</v>
      </c>
      <c r="H14" s="16">
        <v>0.65752314814814816</v>
      </c>
      <c r="I14" s="17">
        <f t="shared" si="6"/>
        <v>2.8587962962962843E-2</v>
      </c>
      <c r="J14" s="17">
        <f t="shared" si="0"/>
        <v>5.0925925925927595E-3</v>
      </c>
      <c r="K14" s="17">
        <f t="shared" si="7"/>
        <v>0.11863425925925919</v>
      </c>
      <c r="L14" s="18">
        <v>0.125</v>
      </c>
      <c r="M14" s="16">
        <v>0.28194444444444444</v>
      </c>
      <c r="N14" s="16">
        <v>0.3107638888888889</v>
      </c>
      <c r="O14" s="16">
        <v>0.42737268518518517</v>
      </c>
      <c r="P14" s="17">
        <f t="shared" si="8"/>
        <v>2.8819444444444453E-2</v>
      </c>
      <c r="Q14" s="17">
        <f t="shared" si="1"/>
        <v>4.895833333333377E-3</v>
      </c>
      <c r="R14" s="17">
        <f t="shared" si="9"/>
        <v>0.14542824074074073</v>
      </c>
      <c r="S14" s="18">
        <v>0.14583333333333334</v>
      </c>
      <c r="T14" s="19">
        <f t="shared" si="10"/>
        <v>11.3</v>
      </c>
      <c r="U14" s="19">
        <f t="shared" si="11"/>
        <v>11.5</v>
      </c>
      <c r="V14" s="19">
        <f t="shared" si="12"/>
        <v>5</v>
      </c>
      <c r="W14" s="19">
        <f t="shared" si="13"/>
        <v>5</v>
      </c>
      <c r="X14" s="37">
        <v>10</v>
      </c>
      <c r="Y14" s="37">
        <v>8</v>
      </c>
      <c r="Z14" s="37">
        <v>4</v>
      </c>
      <c r="AA14" s="37">
        <v>4.2</v>
      </c>
      <c r="AB14" s="37">
        <v>2</v>
      </c>
      <c r="AC14" s="37">
        <f>2+3</f>
        <v>5</v>
      </c>
      <c r="AD14" s="37">
        <v>3.4</v>
      </c>
      <c r="AE14" s="37">
        <v>1.8</v>
      </c>
      <c r="AF14" s="37">
        <v>6</v>
      </c>
      <c r="AG14" s="37">
        <v>4</v>
      </c>
      <c r="AH14" s="37">
        <v>3</v>
      </c>
      <c r="AI14" s="37">
        <v>5</v>
      </c>
      <c r="AJ14" s="19">
        <f t="shared" si="14"/>
        <v>89.2</v>
      </c>
      <c r="AK14" s="33">
        <f t="shared" si="17"/>
        <v>2</v>
      </c>
      <c r="AL14" s="22"/>
      <c r="AM14">
        <f t="shared" si="18"/>
        <v>3</v>
      </c>
      <c r="AO14" s="81">
        <v>13.45</v>
      </c>
      <c r="AP14" s="81">
        <v>13.2</v>
      </c>
      <c r="AQ14" s="81">
        <v>14</v>
      </c>
      <c r="AS14" s="121">
        <f t="shared" si="15"/>
        <v>13.549999999999999</v>
      </c>
      <c r="AT14" s="81">
        <v>13.5</v>
      </c>
      <c r="AU14" s="81">
        <v>14.05</v>
      </c>
      <c r="AV14" s="81">
        <v>13.2</v>
      </c>
      <c r="AX14" s="121">
        <f t="shared" si="16"/>
        <v>13.583333333333334</v>
      </c>
      <c r="AY14" s="81">
        <v>13.5</v>
      </c>
      <c r="AZ14" s="81">
        <v>13.5</v>
      </c>
      <c r="BA14" s="81">
        <v>13.05</v>
      </c>
      <c r="BC14" s="121">
        <f t="shared" si="4"/>
        <v>13.35</v>
      </c>
      <c r="BD14" s="81">
        <v>14</v>
      </c>
      <c r="BE14" s="81">
        <v>13.3</v>
      </c>
      <c r="BF14" s="81">
        <v>13.5</v>
      </c>
      <c r="BH14" s="121">
        <f t="shared" si="5"/>
        <v>13.6</v>
      </c>
    </row>
    <row r="15" spans="1:60">
      <c r="A15" s="14" t="s">
        <v>119</v>
      </c>
      <c r="B15" s="14" t="s">
        <v>208</v>
      </c>
      <c r="C15" s="107" t="s">
        <v>273</v>
      </c>
      <c r="D15" s="101" t="s">
        <v>229</v>
      </c>
      <c r="E15" s="101">
        <v>3</v>
      </c>
      <c r="F15" s="16">
        <v>0.53958333333333297</v>
      </c>
      <c r="G15" s="16">
        <v>0.56618055555555558</v>
      </c>
      <c r="H15" s="16">
        <v>0.66684027777777777</v>
      </c>
      <c r="I15" s="17">
        <f>G15-F15</f>
        <v>2.6597222222222605E-2</v>
      </c>
      <c r="J15" s="17">
        <f t="shared" si="0"/>
        <v>3.1018518518525218E-3</v>
      </c>
      <c r="K15" s="17">
        <f>H15-F15</f>
        <v>0.1272569444444448</v>
      </c>
      <c r="L15" s="18">
        <v>0.125</v>
      </c>
      <c r="M15" s="16">
        <v>0.28055555555555556</v>
      </c>
      <c r="N15" s="16">
        <v>0.31031249999999999</v>
      </c>
      <c r="O15" s="16">
        <v>0.43692129629629628</v>
      </c>
      <c r="P15" s="17">
        <f>N15-M15</f>
        <v>2.9756944444444433E-2</v>
      </c>
      <c r="Q15" s="17">
        <f t="shared" si="1"/>
        <v>5.833333333333357E-3</v>
      </c>
      <c r="R15" s="17">
        <f>O15-M15</f>
        <v>0.15636574074074072</v>
      </c>
      <c r="S15" s="18">
        <v>0.14583333333333334</v>
      </c>
      <c r="T15" s="19">
        <f>ROUND(MAX(T$2-J15*60*24*0.5,0),1)</f>
        <v>12.8</v>
      </c>
      <c r="U15" s="19">
        <f>ROUND(MAX(U$2-Q15*60*24*0.5,0),1)</f>
        <v>10.8</v>
      </c>
      <c r="V15" s="19">
        <f>ROUND(MAX(MIN(V$2+(L15-K15)*60*24*0.25,$V$2),0),1)</f>
        <v>4.2</v>
      </c>
      <c r="W15" s="19">
        <f>ROUND(MAX(MIN($W$2+(S15-R15)*60*24*0.25,$W$2),0),1)</f>
        <v>1.2</v>
      </c>
      <c r="X15" s="37">
        <v>8.8000000000000007</v>
      </c>
      <c r="Y15" s="37">
        <v>8</v>
      </c>
      <c r="Z15" s="37">
        <v>3.4</v>
      </c>
      <c r="AA15" s="37">
        <v>3.8</v>
      </c>
      <c r="AB15" s="37">
        <v>1.4</v>
      </c>
      <c r="AC15" s="37">
        <f>1+2.5</f>
        <v>3.5</v>
      </c>
      <c r="AD15" s="37">
        <v>3.6</v>
      </c>
      <c r="AE15" s="37">
        <v>2</v>
      </c>
      <c r="AF15" s="37">
        <v>5.8</v>
      </c>
      <c r="AG15" s="37">
        <v>3.5</v>
      </c>
      <c r="AH15" s="37">
        <v>3</v>
      </c>
      <c r="AI15" s="37">
        <f>5-0.5</f>
        <v>4.5</v>
      </c>
      <c r="AJ15" s="19">
        <f>SUM(T15:AI15)</f>
        <v>80.3</v>
      </c>
      <c r="AK15" s="33">
        <f t="shared" si="17"/>
        <v>5</v>
      </c>
      <c r="AL15" s="22" t="s">
        <v>290</v>
      </c>
      <c r="AM15">
        <f t="shared" si="18"/>
        <v>1</v>
      </c>
      <c r="AO15" s="81">
        <v>13</v>
      </c>
      <c r="AP15" s="81">
        <v>11.65</v>
      </c>
      <c r="AQ15" s="81">
        <v>13.55</v>
      </c>
      <c r="AS15" s="121">
        <f t="shared" si="15"/>
        <v>12.733333333333334</v>
      </c>
      <c r="AT15" s="81">
        <v>13</v>
      </c>
      <c r="AU15" s="81">
        <v>11.65</v>
      </c>
      <c r="AV15" s="81">
        <v>13.6</v>
      </c>
      <c r="AX15" s="121">
        <f t="shared" si="16"/>
        <v>12.75</v>
      </c>
      <c r="AY15" s="81">
        <v>12.9</v>
      </c>
      <c r="AZ15" s="81">
        <v>10.9</v>
      </c>
      <c r="BA15" s="81">
        <v>12.95</v>
      </c>
      <c r="BC15" s="121">
        <f t="shared" si="4"/>
        <v>12.25</v>
      </c>
      <c r="BD15" s="81">
        <v>13.2</v>
      </c>
      <c r="BE15" s="81">
        <v>11.3</v>
      </c>
      <c r="BF15" s="81">
        <v>13.4</v>
      </c>
      <c r="BH15" s="121">
        <f t="shared" si="5"/>
        <v>12.633333333333333</v>
      </c>
    </row>
    <row r="16" spans="1:60">
      <c r="A16" s="14" t="s">
        <v>119</v>
      </c>
      <c r="B16" s="14" t="s">
        <v>222</v>
      </c>
      <c r="C16" s="107" t="s">
        <v>274</v>
      </c>
      <c r="D16" s="101" t="s">
        <v>224</v>
      </c>
      <c r="E16" s="101">
        <v>3</v>
      </c>
      <c r="F16" s="16">
        <v>0.54027777777777797</v>
      </c>
      <c r="G16" s="16">
        <v>0.56893518518518515</v>
      </c>
      <c r="H16" s="16">
        <v>0.65775462962962961</v>
      </c>
      <c r="I16" s="17">
        <f t="shared" si="6"/>
        <v>2.8657407407407187E-2</v>
      </c>
      <c r="J16" s="17">
        <f t="shared" si="0"/>
        <v>5.1620370370371038E-3</v>
      </c>
      <c r="K16" s="17">
        <f t="shared" si="7"/>
        <v>0.11747685185185164</v>
      </c>
      <c r="L16" s="18">
        <v>0.125</v>
      </c>
      <c r="M16" s="16">
        <v>0.28263888888888888</v>
      </c>
      <c r="N16" s="16">
        <v>0.31234953703703705</v>
      </c>
      <c r="O16" s="16">
        <v>0.42586805555555557</v>
      </c>
      <c r="P16" s="17">
        <f t="shared" si="8"/>
        <v>2.9710648148148167E-2</v>
      </c>
      <c r="Q16" s="17">
        <f t="shared" si="1"/>
        <v>5.7870370370370905E-3</v>
      </c>
      <c r="R16" s="17">
        <f t="shared" si="9"/>
        <v>0.14322916666666669</v>
      </c>
      <c r="S16" s="18">
        <v>0.14583333333333334</v>
      </c>
      <c r="T16" s="19">
        <f t="shared" si="10"/>
        <v>11.3</v>
      </c>
      <c r="U16" s="19">
        <f t="shared" si="11"/>
        <v>10.8</v>
      </c>
      <c r="V16" s="19">
        <f t="shared" si="12"/>
        <v>5</v>
      </c>
      <c r="W16" s="19">
        <f t="shared" si="13"/>
        <v>5</v>
      </c>
      <c r="X16" s="37">
        <v>10</v>
      </c>
      <c r="Y16" s="37">
        <v>7.8</v>
      </c>
      <c r="Z16" s="37">
        <v>4</v>
      </c>
      <c r="AA16" s="37">
        <v>2.2999999999999998</v>
      </c>
      <c r="AB16" s="37">
        <v>2</v>
      </c>
      <c r="AC16" s="37">
        <f>2+3</f>
        <v>5</v>
      </c>
      <c r="AD16" s="37">
        <v>3.2</v>
      </c>
      <c r="AE16" s="37">
        <v>1.8</v>
      </c>
      <c r="AF16" s="37">
        <v>6</v>
      </c>
      <c r="AG16" s="37">
        <v>2.5</v>
      </c>
      <c r="AH16" s="37">
        <v>3</v>
      </c>
      <c r="AI16" s="37">
        <v>5</v>
      </c>
      <c r="AJ16" s="19">
        <f t="shared" si="14"/>
        <v>84.699999999999989</v>
      </c>
      <c r="AK16" s="33">
        <f t="shared" si="17"/>
        <v>3</v>
      </c>
      <c r="AM16">
        <f t="shared" si="18"/>
        <v>4</v>
      </c>
      <c r="AO16" s="81">
        <v>12.75</v>
      </c>
      <c r="AP16" s="81">
        <v>11.15</v>
      </c>
      <c r="AQ16" s="81">
        <v>16.2</v>
      </c>
      <c r="AS16" s="121">
        <f t="shared" si="15"/>
        <v>13.366666666666665</v>
      </c>
      <c r="AT16" s="81">
        <v>12.8</v>
      </c>
      <c r="AU16" s="81">
        <v>11.2</v>
      </c>
      <c r="AV16" s="81">
        <v>16.149999999999999</v>
      </c>
      <c r="AX16" s="121">
        <f t="shared" si="16"/>
        <v>13.383333333333333</v>
      </c>
      <c r="AY16" s="81">
        <v>12.35</v>
      </c>
      <c r="AZ16" s="81">
        <v>15.15</v>
      </c>
      <c r="BA16" s="81">
        <v>11.05</v>
      </c>
      <c r="BC16" s="121">
        <f t="shared" si="4"/>
        <v>12.85</v>
      </c>
      <c r="BD16" s="81">
        <v>12.6</v>
      </c>
      <c r="BE16" s="81">
        <v>14.9</v>
      </c>
      <c r="BF16" s="81">
        <v>11.6</v>
      </c>
      <c r="BH16" s="121">
        <f t="shared" si="5"/>
        <v>13.033333333333333</v>
      </c>
    </row>
    <row r="17" spans="1:60">
      <c r="A17" s="14" t="s">
        <v>119</v>
      </c>
      <c r="B17" s="14" t="s">
        <v>210</v>
      </c>
      <c r="C17" s="107" t="s">
        <v>275</v>
      </c>
      <c r="D17" s="101" t="s">
        <v>229</v>
      </c>
      <c r="E17" s="101">
        <v>3</v>
      </c>
      <c r="F17" s="16">
        <v>0.54097222222222197</v>
      </c>
      <c r="G17" s="16">
        <v>0.5705324074074074</v>
      </c>
      <c r="H17" s="16">
        <v>0.66608796296296291</v>
      </c>
      <c r="I17" s="17">
        <f t="shared" si="6"/>
        <v>2.9560185185185439E-2</v>
      </c>
      <c r="J17" s="17">
        <f t="shared" si="0"/>
        <v>6.0648148148153558E-3</v>
      </c>
      <c r="K17" s="17">
        <f t="shared" si="7"/>
        <v>0.12511574074074094</v>
      </c>
      <c r="L17" s="18">
        <v>0.125</v>
      </c>
      <c r="M17" s="16">
        <v>0.28333333333333333</v>
      </c>
      <c r="N17" s="16">
        <v>0.31723379629629628</v>
      </c>
      <c r="O17" s="16">
        <v>0.43344907407407413</v>
      </c>
      <c r="P17" s="17">
        <f t="shared" si="8"/>
        <v>3.3900462962962952E-2</v>
      </c>
      <c r="Q17" s="17">
        <f t="shared" si="1"/>
        <v>9.9768518518518756E-3</v>
      </c>
      <c r="R17" s="17">
        <f t="shared" si="9"/>
        <v>0.1501157407407408</v>
      </c>
      <c r="S17" s="18">
        <v>0.14583333333333334</v>
      </c>
      <c r="T17" s="19">
        <f t="shared" si="10"/>
        <v>10.6</v>
      </c>
      <c r="U17" s="19">
        <f t="shared" si="11"/>
        <v>7.8</v>
      </c>
      <c r="V17" s="19">
        <f t="shared" si="12"/>
        <v>5</v>
      </c>
      <c r="W17" s="19">
        <f t="shared" si="13"/>
        <v>3.5</v>
      </c>
      <c r="X17" s="37">
        <v>9.8000000000000007</v>
      </c>
      <c r="Y17" s="37">
        <v>7.6</v>
      </c>
      <c r="Z17" s="37">
        <v>4</v>
      </c>
      <c r="AA17" s="37">
        <v>3.6</v>
      </c>
      <c r="AB17" s="37">
        <v>2</v>
      </c>
      <c r="AC17" s="37">
        <f>1+1</f>
        <v>2</v>
      </c>
      <c r="AD17" s="37">
        <v>2.8</v>
      </c>
      <c r="AE17" s="37">
        <v>1.8</v>
      </c>
      <c r="AF17" s="37">
        <v>5.8</v>
      </c>
      <c r="AG17" s="37">
        <v>3</v>
      </c>
      <c r="AH17" s="37">
        <v>3</v>
      </c>
      <c r="AI17" s="37">
        <v>5</v>
      </c>
      <c r="AJ17" s="19">
        <f t="shared" si="14"/>
        <v>77.3</v>
      </c>
      <c r="AK17" s="33">
        <f>RANK(AJ17,$AJ$11:$AJ$18)</f>
        <v>6</v>
      </c>
      <c r="AM17">
        <f t="shared" si="18"/>
        <v>5</v>
      </c>
      <c r="AO17" s="81">
        <v>12.95</v>
      </c>
      <c r="AP17" s="81">
        <v>15.1</v>
      </c>
      <c r="AQ17" s="81">
        <v>13.85</v>
      </c>
      <c r="AS17" s="121">
        <f t="shared" si="15"/>
        <v>13.966666666666667</v>
      </c>
      <c r="AT17" s="81">
        <v>13.9</v>
      </c>
      <c r="AU17" s="81">
        <v>15.1</v>
      </c>
      <c r="AV17" s="81">
        <v>13.65</v>
      </c>
      <c r="AX17" s="121">
        <f t="shared" si="16"/>
        <v>14.216666666666667</v>
      </c>
      <c r="AY17" s="81">
        <v>14.95</v>
      </c>
      <c r="AZ17" s="81">
        <v>13.1</v>
      </c>
      <c r="BA17" s="81">
        <v>13.2</v>
      </c>
      <c r="BC17" s="121">
        <f t="shared" si="4"/>
        <v>13.75</v>
      </c>
      <c r="BD17" s="81">
        <v>13</v>
      </c>
      <c r="BE17" s="81">
        <v>15.8</v>
      </c>
      <c r="BF17" s="81">
        <v>13.4</v>
      </c>
      <c r="BH17" s="121">
        <f t="shared" si="5"/>
        <v>14.066666666666668</v>
      </c>
    </row>
    <row r="18" spans="1:60" s="69" customFormat="1" ht="14.25" thickBot="1">
      <c r="A18" s="62" t="s">
        <v>119</v>
      </c>
      <c r="B18" s="62" t="s">
        <v>219</v>
      </c>
      <c r="C18" s="110" t="s">
        <v>276</v>
      </c>
      <c r="D18" s="110" t="s">
        <v>225</v>
      </c>
      <c r="E18" s="110">
        <v>3</v>
      </c>
      <c r="F18" s="64">
        <v>0.54166666666666696</v>
      </c>
      <c r="G18" s="64">
        <v>0.58152777777777775</v>
      </c>
      <c r="H18" s="64">
        <v>0.66197916666666667</v>
      </c>
      <c r="I18" s="65">
        <f t="shared" si="6"/>
        <v>3.9861111111110792E-2</v>
      </c>
      <c r="J18" s="65">
        <f t="shared" si="0"/>
        <v>1.6365740740740709E-2</v>
      </c>
      <c r="K18" s="65">
        <f t="shared" si="7"/>
        <v>0.12031249999999971</v>
      </c>
      <c r="L18" s="66">
        <v>0.125</v>
      </c>
      <c r="M18" s="64">
        <v>0.28472222222222221</v>
      </c>
      <c r="N18" s="64">
        <v>0.31780092592592596</v>
      </c>
      <c r="O18" s="64">
        <v>0.4284722222222222</v>
      </c>
      <c r="P18" s="65">
        <f t="shared" si="8"/>
        <v>3.3078703703703749E-2</v>
      </c>
      <c r="Q18" s="65">
        <f t="shared" si="1"/>
        <v>9.1550925925926729E-3</v>
      </c>
      <c r="R18" s="65">
        <f t="shared" si="9"/>
        <v>0.14374999999999999</v>
      </c>
      <c r="S18" s="66">
        <v>0.14583333333333334</v>
      </c>
      <c r="T18" s="67">
        <f t="shared" si="10"/>
        <v>3.2</v>
      </c>
      <c r="U18" s="67">
        <f t="shared" si="11"/>
        <v>8.4</v>
      </c>
      <c r="V18" s="67">
        <f t="shared" si="12"/>
        <v>5</v>
      </c>
      <c r="W18" s="67">
        <f t="shared" si="13"/>
        <v>5</v>
      </c>
      <c r="X18" s="68">
        <v>5.6</v>
      </c>
      <c r="Y18" s="68">
        <v>7.4</v>
      </c>
      <c r="Z18" s="68">
        <v>3.8</v>
      </c>
      <c r="AA18" s="68">
        <v>0</v>
      </c>
      <c r="AB18" s="68">
        <v>1.8</v>
      </c>
      <c r="AC18" s="68">
        <f>0+1</f>
        <v>1</v>
      </c>
      <c r="AD18" s="68">
        <v>2.6</v>
      </c>
      <c r="AE18" s="68">
        <v>1.8</v>
      </c>
      <c r="AF18" s="68">
        <v>4.5999999999999996</v>
      </c>
      <c r="AG18" s="68">
        <v>1.5</v>
      </c>
      <c r="AH18" s="68">
        <v>2.5</v>
      </c>
      <c r="AI18" s="68">
        <f>5-1-0.2</f>
        <v>3.8</v>
      </c>
      <c r="AJ18" s="67">
        <f t="shared" si="14"/>
        <v>57.999999999999993</v>
      </c>
      <c r="AK18" s="111">
        <f t="shared" si="17"/>
        <v>7</v>
      </c>
      <c r="AL18" s="60" t="s">
        <v>292</v>
      </c>
      <c r="AM18">
        <f t="shared" si="18"/>
        <v>7</v>
      </c>
      <c r="AN18"/>
      <c r="AO18" s="69">
        <v>13.35</v>
      </c>
      <c r="AP18" s="69">
        <v>14.3</v>
      </c>
      <c r="AQ18" s="69">
        <v>15.2</v>
      </c>
      <c r="AS18" s="121">
        <f t="shared" si="15"/>
        <v>14.283333333333331</v>
      </c>
      <c r="AT18" s="69">
        <v>13.35</v>
      </c>
      <c r="AU18" s="69">
        <v>15.1</v>
      </c>
      <c r="AV18" s="69">
        <v>13.75</v>
      </c>
      <c r="AX18" s="121">
        <f t="shared" si="16"/>
        <v>14.066666666666668</v>
      </c>
      <c r="AY18" s="69">
        <v>14.2</v>
      </c>
      <c r="AZ18" s="69">
        <v>11.85</v>
      </c>
      <c r="BA18" s="69">
        <v>13.95</v>
      </c>
      <c r="BC18" s="121">
        <f t="shared" si="4"/>
        <v>13.333333333333334</v>
      </c>
      <c r="BD18" s="69">
        <v>14.3</v>
      </c>
      <c r="BE18" s="69">
        <v>14.5</v>
      </c>
      <c r="BF18" s="69">
        <v>11.8</v>
      </c>
      <c r="BH18" s="121">
        <f t="shared" si="5"/>
        <v>13.533333333333333</v>
      </c>
    </row>
    <row r="19" spans="1:60">
      <c r="A19" s="44" t="s">
        <v>120</v>
      </c>
      <c r="B19" s="44" t="s">
        <v>50</v>
      </c>
      <c r="C19" s="107" t="s">
        <v>277</v>
      </c>
      <c r="D19" s="107" t="s">
        <v>51</v>
      </c>
      <c r="E19" s="107">
        <v>4</v>
      </c>
      <c r="F19" s="46">
        <v>0.54236111111111096</v>
      </c>
      <c r="G19" s="46">
        <v>0.5866203703703704</v>
      </c>
      <c r="H19" s="46">
        <v>0.67164351851851845</v>
      </c>
      <c r="I19" s="47">
        <f t="shared" si="6"/>
        <v>4.4259259259259442E-2</v>
      </c>
      <c r="J19" s="47">
        <f>I19-MIN(I$19:I$22)</f>
        <v>0</v>
      </c>
      <c r="K19" s="47">
        <f t="shared" si="7"/>
        <v>0.12928240740740748</v>
      </c>
      <c r="L19" s="48">
        <v>0.14583333333333334</v>
      </c>
      <c r="M19" s="46">
        <v>0.28472222222222221</v>
      </c>
      <c r="N19" s="46">
        <v>0.31521990740740741</v>
      </c>
      <c r="O19" s="46">
        <v>0.44895833333333335</v>
      </c>
      <c r="P19" s="47">
        <f t="shared" si="8"/>
        <v>3.0497685185185197E-2</v>
      </c>
      <c r="Q19" s="47">
        <f>P19-MIN(P$19:P$22)</f>
        <v>0</v>
      </c>
      <c r="R19" s="47">
        <f t="shared" si="9"/>
        <v>0.16423611111111114</v>
      </c>
      <c r="S19" s="48">
        <v>0.16666666666666666</v>
      </c>
      <c r="T19" s="49">
        <f t="shared" si="10"/>
        <v>15</v>
      </c>
      <c r="U19" s="49">
        <f>ROUND(MAX(U$2-Q19*60*24*0.5,0),1)</f>
        <v>15</v>
      </c>
      <c r="V19" s="49">
        <f t="shared" si="12"/>
        <v>5</v>
      </c>
      <c r="W19" s="49">
        <f t="shared" si="13"/>
        <v>5</v>
      </c>
      <c r="X19" s="50">
        <v>10</v>
      </c>
      <c r="Y19" s="50">
        <v>8</v>
      </c>
      <c r="Z19" s="50">
        <v>4</v>
      </c>
      <c r="AA19" s="50">
        <v>4.4000000000000004</v>
      </c>
      <c r="AB19" s="50">
        <v>2</v>
      </c>
      <c r="AC19" s="50">
        <f>3+3</f>
        <v>6</v>
      </c>
      <c r="AD19" s="50">
        <v>3.8</v>
      </c>
      <c r="AE19" s="50">
        <v>1.8</v>
      </c>
      <c r="AF19" s="50">
        <v>6</v>
      </c>
      <c r="AG19" s="50">
        <v>3.5</v>
      </c>
      <c r="AH19" s="50">
        <v>3</v>
      </c>
      <c r="AI19" s="50">
        <v>5</v>
      </c>
      <c r="AJ19" s="49">
        <f t="shared" si="14"/>
        <v>97.5</v>
      </c>
      <c r="AK19" s="51">
        <f>RANK(AJ19,$AJ$19:$AJ$21)</f>
        <v>1</v>
      </c>
      <c r="AM19">
        <f>RANK(J19,$J$19:$J$21,1)</f>
        <v>1</v>
      </c>
      <c r="AO19" s="81">
        <v>13.85</v>
      </c>
      <c r="AP19" s="81">
        <v>12.45</v>
      </c>
      <c r="AQ19" s="81">
        <v>14.2</v>
      </c>
      <c r="AR19" s="81">
        <v>13.15</v>
      </c>
      <c r="AS19" s="121">
        <f t="shared" si="15"/>
        <v>13.4125</v>
      </c>
      <c r="AT19" s="81">
        <v>12.6</v>
      </c>
      <c r="AU19" s="81">
        <v>14.7</v>
      </c>
      <c r="AV19" s="81">
        <v>12.9</v>
      </c>
      <c r="AW19" s="81">
        <v>12.05</v>
      </c>
      <c r="AX19" s="121">
        <f t="shared" si="16"/>
        <v>13.0625</v>
      </c>
      <c r="AY19" s="81">
        <v>12.2</v>
      </c>
      <c r="AZ19" s="81">
        <v>12.3</v>
      </c>
      <c r="BA19" s="81">
        <v>14.05</v>
      </c>
      <c r="BB19" s="81">
        <v>12.25</v>
      </c>
      <c r="BC19" s="121">
        <f t="shared" si="4"/>
        <v>12.7</v>
      </c>
      <c r="BD19" s="81">
        <v>12.4</v>
      </c>
      <c r="BE19" s="81">
        <v>12</v>
      </c>
      <c r="BF19" s="81">
        <v>13</v>
      </c>
      <c r="BG19" s="81">
        <v>13.4</v>
      </c>
      <c r="BH19" s="121">
        <f t="shared" si="5"/>
        <v>12.7</v>
      </c>
    </row>
    <row r="20" spans="1:60">
      <c r="A20" s="14" t="s">
        <v>120</v>
      </c>
      <c r="B20" s="14" t="s">
        <v>29</v>
      </c>
      <c r="C20" s="101" t="s">
        <v>278</v>
      </c>
      <c r="D20" s="101" t="s">
        <v>232</v>
      </c>
      <c r="E20" s="101">
        <v>4</v>
      </c>
      <c r="F20" s="16">
        <v>0.54305555555555596</v>
      </c>
      <c r="G20" s="16">
        <v>0.59164351851851849</v>
      </c>
      <c r="H20" s="16">
        <v>0.66956018518518512</v>
      </c>
      <c r="I20" s="17">
        <f t="shared" si="6"/>
        <v>4.8587962962962528E-2</v>
      </c>
      <c r="J20" s="17">
        <f>I20-MIN(I$19:I$22)</f>
        <v>4.3287037037030851E-3</v>
      </c>
      <c r="K20" s="17">
        <f t="shared" si="7"/>
        <v>0.12650462962962916</v>
      </c>
      <c r="L20" s="18">
        <v>0.14583333333333334</v>
      </c>
      <c r="M20" s="16">
        <v>0.28541666666666665</v>
      </c>
      <c r="N20" s="16">
        <v>0.3175694444444444</v>
      </c>
      <c r="O20" s="16">
        <v>0.43443287037037037</v>
      </c>
      <c r="P20" s="17">
        <f t="shared" si="8"/>
        <v>3.2152777777777752E-2</v>
      </c>
      <c r="Q20" s="17">
        <f>P20-MIN(P$19:P$22)</f>
        <v>1.6550925925925553E-3</v>
      </c>
      <c r="R20" s="17">
        <f t="shared" si="9"/>
        <v>0.14901620370370372</v>
      </c>
      <c r="S20" s="18">
        <v>0.16666666666666666</v>
      </c>
      <c r="T20" s="19">
        <f>ROUND(MAX(T$2-J20*60*24*0.5,0),1)-0.3</f>
        <v>11.6</v>
      </c>
      <c r="U20" s="19">
        <f t="shared" si="11"/>
        <v>13.8</v>
      </c>
      <c r="V20" s="19">
        <f t="shared" si="12"/>
        <v>5</v>
      </c>
      <c r="W20" s="19">
        <f t="shared" si="13"/>
        <v>5</v>
      </c>
      <c r="X20" s="37">
        <v>4.8</v>
      </c>
      <c r="Y20" s="37">
        <v>6.6</v>
      </c>
      <c r="Z20" s="37">
        <v>2.4</v>
      </c>
      <c r="AA20" s="37">
        <v>0</v>
      </c>
      <c r="AB20" s="37">
        <v>0.8</v>
      </c>
      <c r="AC20" s="37">
        <f>0+0.5</f>
        <v>0.5</v>
      </c>
      <c r="AD20" s="37">
        <v>3.2</v>
      </c>
      <c r="AE20" s="37">
        <v>1.4</v>
      </c>
      <c r="AF20" s="37">
        <v>3.5</v>
      </c>
      <c r="AG20" s="37">
        <v>1.8</v>
      </c>
      <c r="AH20" s="37">
        <v>2.5</v>
      </c>
      <c r="AI20" s="37">
        <v>5</v>
      </c>
      <c r="AJ20" s="19">
        <f t="shared" si="14"/>
        <v>67.899999999999991</v>
      </c>
      <c r="AK20" s="33">
        <f>RANK(AJ20,$AJ$19:$AJ$21)</f>
        <v>2</v>
      </c>
      <c r="AL20" t="s">
        <v>284</v>
      </c>
      <c r="AM20">
        <f>RANK(J20,$J$19:$J$21,1)</f>
        <v>2</v>
      </c>
      <c r="AO20" s="81">
        <v>12.05</v>
      </c>
      <c r="AP20" s="81">
        <v>11.85</v>
      </c>
      <c r="AQ20" s="81">
        <v>12.2</v>
      </c>
      <c r="AR20" s="81">
        <v>12.3</v>
      </c>
      <c r="AS20" s="121">
        <f t="shared" si="15"/>
        <v>12.099999999999998</v>
      </c>
      <c r="AT20" s="81">
        <v>12.05</v>
      </c>
      <c r="AU20" s="81">
        <v>11.8</v>
      </c>
      <c r="AV20" s="81">
        <v>11.95</v>
      </c>
      <c r="AW20" s="81">
        <v>11.9</v>
      </c>
      <c r="AX20" s="121">
        <f t="shared" si="16"/>
        <v>11.924999999999999</v>
      </c>
      <c r="AY20" s="81">
        <v>12.5</v>
      </c>
      <c r="AZ20" s="81">
        <v>11.95</v>
      </c>
      <c r="BA20" s="81">
        <v>11.1</v>
      </c>
      <c r="BB20" s="81">
        <v>12.1</v>
      </c>
      <c r="BC20" s="121">
        <f t="shared" si="4"/>
        <v>11.9125</v>
      </c>
      <c r="BD20" s="81">
        <v>12.2</v>
      </c>
      <c r="BE20" s="81">
        <v>12</v>
      </c>
      <c r="BF20" s="81">
        <v>11.6</v>
      </c>
      <c r="BG20" s="81">
        <v>12.4</v>
      </c>
      <c r="BH20" s="121">
        <f t="shared" si="5"/>
        <v>12.049999999999999</v>
      </c>
    </row>
    <row r="21" spans="1:60" s="60" customFormat="1" ht="14.25" thickBot="1">
      <c r="A21" s="52" t="s">
        <v>120</v>
      </c>
      <c r="B21" s="52" t="s">
        <v>182</v>
      </c>
      <c r="C21" s="108" t="s">
        <v>279</v>
      </c>
      <c r="D21" s="108" t="s">
        <v>237</v>
      </c>
      <c r="E21" s="108">
        <v>4</v>
      </c>
      <c r="F21" s="54">
        <v>0.54374999999999996</v>
      </c>
      <c r="G21" s="54">
        <v>0.60950231481481476</v>
      </c>
      <c r="H21" s="54">
        <v>0.68333333333333324</v>
      </c>
      <c r="I21" s="55">
        <f>G21-F21</f>
        <v>6.5752314814814805E-2</v>
      </c>
      <c r="J21" s="55">
        <f>I21-MIN(I$19:I$22)</f>
        <v>2.1493055555555363E-2</v>
      </c>
      <c r="K21" s="55">
        <f>H21-F21</f>
        <v>0.13958333333333328</v>
      </c>
      <c r="L21" s="56">
        <v>0.14583333333333334</v>
      </c>
      <c r="M21" s="54">
        <v>0.28611111111111115</v>
      </c>
      <c r="N21" s="54">
        <v>0.32561342592592596</v>
      </c>
      <c r="O21" s="54">
        <v>0.4543402777777778</v>
      </c>
      <c r="P21" s="55">
        <f>N21-M21</f>
        <v>3.950231481481481E-2</v>
      </c>
      <c r="Q21" s="55">
        <f>P21-MIN(P$19:P$22)</f>
        <v>9.0046296296296124E-3</v>
      </c>
      <c r="R21" s="55">
        <f>O21-M21</f>
        <v>0.16822916666666665</v>
      </c>
      <c r="S21" s="56">
        <v>0.16666666666666666</v>
      </c>
      <c r="T21" s="57">
        <f>ROUND(MAX(T$2-J21*60*24*0.5,0),1)</f>
        <v>0</v>
      </c>
      <c r="U21" s="57">
        <f>ROUND(MAX(U$2-Q21*60*24*0.5,0),1)</f>
        <v>8.5</v>
      </c>
      <c r="V21" s="57">
        <f>ROUND(MAX(MIN(V$2+(L21-K21)*60*24*0.25,$V$2),0),1)</f>
        <v>5</v>
      </c>
      <c r="W21" s="57">
        <f>ROUND(MAX(MIN($W$2+(S21-R21)*60*24*0.25,$W$2),0),1)</f>
        <v>4.4000000000000004</v>
      </c>
      <c r="X21" s="58">
        <v>9.1</v>
      </c>
      <c r="Y21" s="58">
        <v>7.6</v>
      </c>
      <c r="Z21" s="58">
        <v>3.5</v>
      </c>
      <c r="AA21" s="58">
        <v>0.1</v>
      </c>
      <c r="AB21" s="58">
        <v>1.4</v>
      </c>
      <c r="AC21" s="58">
        <f>1+0</f>
        <v>1</v>
      </c>
      <c r="AD21" s="58">
        <v>2.6</v>
      </c>
      <c r="AE21" s="58">
        <v>2</v>
      </c>
      <c r="AF21" s="58">
        <v>4.5</v>
      </c>
      <c r="AG21" s="58">
        <v>1.7</v>
      </c>
      <c r="AH21" s="58">
        <v>3</v>
      </c>
      <c r="AI21" s="58">
        <v>5</v>
      </c>
      <c r="AJ21" s="57">
        <f>SUM(T21:AI21)</f>
        <v>59.400000000000006</v>
      </c>
      <c r="AK21" s="59">
        <f>RANK(AJ21,$AJ$19:$AJ$21)</f>
        <v>3</v>
      </c>
      <c r="AM21">
        <f>RANK(J21,$J$19:$J$21,1)</f>
        <v>3</v>
      </c>
      <c r="AN21"/>
      <c r="AO21" s="60">
        <v>13.4</v>
      </c>
      <c r="AP21" s="60">
        <v>13.75</v>
      </c>
      <c r="AQ21" s="60">
        <v>13.75</v>
      </c>
      <c r="AR21" s="60">
        <v>14.25</v>
      </c>
      <c r="AS21" s="121">
        <f t="shared" si="15"/>
        <v>13.7875</v>
      </c>
      <c r="AT21" s="60">
        <v>12.9</v>
      </c>
      <c r="AU21" s="60">
        <v>13.4</v>
      </c>
      <c r="AV21" s="60">
        <v>13.3</v>
      </c>
      <c r="AW21" s="60">
        <v>14.25</v>
      </c>
      <c r="AX21" s="121">
        <f t="shared" si="16"/>
        <v>13.4625</v>
      </c>
      <c r="AY21" s="60">
        <v>12.4</v>
      </c>
      <c r="AZ21" s="60">
        <v>11.75</v>
      </c>
      <c r="BA21" s="60">
        <v>13.05</v>
      </c>
      <c r="BB21" s="60">
        <v>12.35</v>
      </c>
      <c r="BC21" s="121">
        <f t="shared" si="4"/>
        <v>12.387500000000001</v>
      </c>
      <c r="BD21" s="60">
        <v>12</v>
      </c>
      <c r="BE21" s="60">
        <v>11.8</v>
      </c>
      <c r="BF21" s="60">
        <v>12.3</v>
      </c>
      <c r="BG21" s="60">
        <v>13</v>
      </c>
      <c r="BH21" s="121">
        <f t="shared" si="5"/>
        <v>12.275</v>
      </c>
    </row>
    <row r="22" spans="1:60" s="120" customFormat="1" ht="15" thickTop="1" thickBot="1">
      <c r="A22" s="112" t="s">
        <v>281</v>
      </c>
      <c r="B22" s="112" t="s">
        <v>282</v>
      </c>
      <c r="C22" s="113" t="s">
        <v>280</v>
      </c>
      <c r="D22" s="113" t="s">
        <v>51</v>
      </c>
      <c r="E22" s="113">
        <v>4</v>
      </c>
      <c r="F22" s="114">
        <v>0.54444444444444395</v>
      </c>
      <c r="G22" s="114">
        <v>0.58870370370370373</v>
      </c>
      <c r="H22" s="114">
        <v>0.67511574074074077</v>
      </c>
      <c r="I22" s="115">
        <f t="shared" si="6"/>
        <v>4.4259259259259776E-2</v>
      </c>
      <c r="J22" s="115">
        <f>I22-MIN(I$19:I$22)</f>
        <v>3.3306690738754696E-16</v>
      </c>
      <c r="K22" s="115">
        <f t="shared" si="7"/>
        <v>0.13067129629629681</v>
      </c>
      <c r="L22" s="116">
        <v>0.14583333333333334</v>
      </c>
      <c r="M22" s="114">
        <v>0.28680555555555554</v>
      </c>
      <c r="N22" s="114">
        <v>0.3212962962962963</v>
      </c>
      <c r="O22" s="114">
        <v>0.44866898148148149</v>
      </c>
      <c r="P22" s="115">
        <f t="shared" si="8"/>
        <v>3.4490740740740766E-2</v>
      </c>
      <c r="Q22" s="115">
        <f>P22-MIN(P$19:P$22)</f>
        <v>3.9930555555555691E-3</v>
      </c>
      <c r="R22" s="115">
        <f t="shared" si="9"/>
        <v>0.16186342592592595</v>
      </c>
      <c r="S22" s="116">
        <v>0.16666666666666666</v>
      </c>
      <c r="T22" s="117">
        <f>ROUND(MAX(T$2-J22*60*24*0.5,0),1)-0.2</f>
        <v>14.8</v>
      </c>
      <c r="U22" s="117">
        <f t="shared" si="11"/>
        <v>12.1</v>
      </c>
      <c r="V22" s="117">
        <f t="shared" si="12"/>
        <v>5</v>
      </c>
      <c r="W22" s="117">
        <f t="shared" si="13"/>
        <v>5</v>
      </c>
      <c r="X22" s="118">
        <v>9.4</v>
      </c>
      <c r="Y22" s="118">
        <v>7.3</v>
      </c>
      <c r="Z22" s="118">
        <v>4</v>
      </c>
      <c r="AA22" s="118">
        <v>2.8</v>
      </c>
      <c r="AB22" s="118">
        <v>2</v>
      </c>
      <c r="AC22" s="118">
        <f>3+2.5</f>
        <v>5.5</v>
      </c>
      <c r="AD22" s="118">
        <v>3.4</v>
      </c>
      <c r="AE22" s="118">
        <v>1.4</v>
      </c>
      <c r="AF22" s="118">
        <v>5.7</v>
      </c>
      <c r="AG22" s="118">
        <v>1</v>
      </c>
      <c r="AH22" s="118">
        <v>3</v>
      </c>
      <c r="AI22" s="118">
        <v>5</v>
      </c>
      <c r="AJ22" s="117">
        <f t="shared" si="14"/>
        <v>87.4</v>
      </c>
      <c r="AK22" s="119">
        <f>RANK(AJ22,$AJ$22)</f>
        <v>1</v>
      </c>
      <c r="AL22" s="120" t="s">
        <v>283</v>
      </c>
      <c r="AM22">
        <f>RANK(J22,$J$22,1)</f>
        <v>1</v>
      </c>
      <c r="AN22"/>
      <c r="AO22" s="120">
        <v>12.5</v>
      </c>
      <c r="AP22" s="120">
        <v>11.85</v>
      </c>
      <c r="AQ22" s="120">
        <v>12.4</v>
      </c>
      <c r="AR22" s="120">
        <v>11.8</v>
      </c>
      <c r="AS22" s="121">
        <f t="shared" si="15"/>
        <v>12.137499999999999</v>
      </c>
      <c r="AT22" s="120">
        <v>11.9</v>
      </c>
      <c r="AU22" s="120">
        <v>11.45</v>
      </c>
      <c r="AV22" s="120">
        <v>12.2</v>
      </c>
      <c r="AW22" s="120">
        <v>12.25</v>
      </c>
      <c r="AX22" s="121">
        <f t="shared" si="16"/>
        <v>11.95</v>
      </c>
      <c r="AY22" s="120">
        <v>11.4</v>
      </c>
      <c r="AZ22" s="120">
        <v>11.75</v>
      </c>
      <c r="BA22" s="120">
        <v>11.65</v>
      </c>
      <c r="BB22" s="120">
        <v>10.35</v>
      </c>
      <c r="BC22" s="121">
        <f t="shared" si="4"/>
        <v>11.2875</v>
      </c>
      <c r="BD22" s="120">
        <v>12</v>
      </c>
      <c r="BE22" s="120">
        <v>12.3</v>
      </c>
      <c r="BF22" s="120">
        <v>12.6</v>
      </c>
      <c r="BG22" s="120">
        <v>11.3</v>
      </c>
      <c r="BH22" s="121">
        <f t="shared" si="5"/>
        <v>12.05</v>
      </c>
    </row>
    <row r="23" spans="1:60">
      <c r="A23" s="44" t="s">
        <v>215</v>
      </c>
      <c r="B23" s="44" t="s">
        <v>124</v>
      </c>
      <c r="D23" s="107" t="s">
        <v>223</v>
      </c>
      <c r="E23" s="107">
        <v>2</v>
      </c>
      <c r="F23" s="46"/>
      <c r="G23" s="46"/>
      <c r="H23" s="46"/>
      <c r="I23" s="47"/>
      <c r="J23" s="47"/>
      <c r="K23" s="47"/>
      <c r="L23" s="48"/>
      <c r="M23" s="46"/>
      <c r="N23" s="46"/>
      <c r="O23" s="46"/>
      <c r="P23" s="47"/>
      <c r="Q23" s="47"/>
      <c r="R23" s="47"/>
      <c r="S23" s="48"/>
      <c r="T23" s="49"/>
      <c r="U23" s="49"/>
      <c r="V23" s="49"/>
      <c r="W23" s="49"/>
      <c r="X23" s="50"/>
      <c r="Y23" s="50"/>
      <c r="Z23" s="50"/>
      <c r="AA23" s="50"/>
      <c r="AB23" s="50"/>
      <c r="AC23" s="50"/>
      <c r="AD23" s="50"/>
      <c r="AE23" s="50"/>
      <c r="AF23" s="50"/>
      <c r="AG23" s="50"/>
      <c r="AH23" s="50"/>
      <c r="AI23" s="50"/>
      <c r="AJ23" s="49"/>
      <c r="AK23" s="51"/>
    </row>
    <row r="24" spans="1:60">
      <c r="A24" s="14" t="s">
        <v>215</v>
      </c>
      <c r="B24" s="14" t="s">
        <v>65</v>
      </c>
      <c r="C24" s="101"/>
      <c r="D24" s="101" t="s">
        <v>227</v>
      </c>
      <c r="E24" s="101">
        <v>5</v>
      </c>
      <c r="F24" s="16"/>
      <c r="G24" s="16"/>
      <c r="H24" s="16"/>
      <c r="I24" s="17"/>
      <c r="J24" s="17"/>
      <c r="K24" s="17"/>
      <c r="L24" s="18"/>
      <c r="M24" s="16"/>
      <c r="N24" s="16"/>
      <c r="O24" s="16"/>
      <c r="P24" s="17"/>
      <c r="Q24" s="17"/>
      <c r="R24" s="17"/>
      <c r="S24" s="18"/>
      <c r="T24" s="19"/>
      <c r="U24" s="19"/>
      <c r="V24" s="19"/>
      <c r="W24" s="19"/>
      <c r="X24" s="37"/>
      <c r="Y24" s="37"/>
      <c r="Z24" s="37"/>
      <c r="AA24" s="37"/>
      <c r="AB24" s="37"/>
      <c r="AC24" s="37"/>
      <c r="AD24" s="37"/>
      <c r="AE24" s="37"/>
      <c r="AF24" s="37"/>
      <c r="AG24" s="37"/>
      <c r="AH24" s="37"/>
      <c r="AI24" s="37"/>
      <c r="AJ24" s="19"/>
      <c r="AK24" s="33"/>
    </row>
    <row r="25" spans="1:60">
      <c r="A25" s="14" t="s">
        <v>215</v>
      </c>
      <c r="B25" s="14" t="s">
        <v>69</v>
      </c>
      <c r="C25" s="101"/>
      <c r="D25" s="101" t="s">
        <v>231</v>
      </c>
      <c r="E25" s="101">
        <v>7</v>
      </c>
      <c r="F25" s="16"/>
      <c r="G25" s="16"/>
      <c r="H25" s="16"/>
      <c r="I25" s="17"/>
      <c r="J25" s="17"/>
      <c r="K25" s="17"/>
      <c r="L25" s="18"/>
      <c r="M25" s="16"/>
      <c r="N25" s="16"/>
      <c r="O25" s="16"/>
      <c r="P25" s="17"/>
      <c r="Q25" s="17"/>
      <c r="R25" s="17"/>
      <c r="S25" s="18"/>
      <c r="T25" s="19"/>
      <c r="U25" s="19"/>
      <c r="V25" s="19"/>
      <c r="W25" s="19"/>
      <c r="X25" s="37"/>
      <c r="Y25" s="37"/>
      <c r="Z25" s="37"/>
      <c r="AA25" s="37"/>
      <c r="AB25" s="37"/>
      <c r="AC25" s="37"/>
      <c r="AD25" s="37"/>
      <c r="AE25" s="37"/>
      <c r="AF25" s="37"/>
      <c r="AG25" s="37"/>
      <c r="AH25" s="37"/>
      <c r="AI25" s="37"/>
      <c r="AJ25" s="19"/>
      <c r="AK25" s="33"/>
    </row>
    <row r="26" spans="1:60">
      <c r="A26" s="14" t="s">
        <v>215</v>
      </c>
      <c r="B26" s="14" t="s">
        <v>29</v>
      </c>
      <c r="C26" s="101"/>
      <c r="D26" s="101" t="s">
        <v>232</v>
      </c>
      <c r="E26" s="101">
        <v>1</v>
      </c>
      <c r="F26" s="16"/>
      <c r="G26" s="16"/>
      <c r="H26" s="16"/>
      <c r="I26" s="17"/>
      <c r="J26" s="17"/>
      <c r="K26" s="17"/>
      <c r="L26" s="18"/>
      <c r="M26" s="16"/>
      <c r="N26" s="16"/>
      <c r="O26" s="16"/>
      <c r="P26" s="17"/>
      <c r="Q26" s="17"/>
      <c r="R26" s="17"/>
      <c r="S26" s="18"/>
      <c r="T26" s="19"/>
      <c r="U26" s="19"/>
      <c r="V26" s="19"/>
      <c r="W26" s="19"/>
      <c r="X26" s="37"/>
      <c r="Y26" s="37"/>
      <c r="Z26" s="37"/>
      <c r="AA26" s="37"/>
      <c r="AB26" s="37"/>
      <c r="AC26" s="37"/>
      <c r="AD26" s="37"/>
      <c r="AE26" s="37"/>
      <c r="AF26" s="37"/>
      <c r="AG26" s="37"/>
      <c r="AH26" s="37"/>
      <c r="AI26" s="37"/>
      <c r="AJ26" s="19"/>
      <c r="AK26" s="33"/>
    </row>
    <row r="27" spans="1:60">
      <c r="A27" s="14" t="s">
        <v>215</v>
      </c>
      <c r="B27" s="14" t="s">
        <v>234</v>
      </c>
      <c r="C27" s="101"/>
      <c r="D27" s="101" t="s">
        <v>235</v>
      </c>
      <c r="E27" s="101">
        <v>1</v>
      </c>
      <c r="F27" s="16"/>
      <c r="G27" s="16"/>
      <c r="H27" s="16"/>
      <c r="I27" s="17"/>
      <c r="J27" s="17"/>
      <c r="K27" s="17"/>
      <c r="L27" s="18"/>
      <c r="M27" s="16"/>
      <c r="N27" s="16"/>
      <c r="O27" s="16"/>
      <c r="P27" s="17"/>
      <c r="Q27" s="17"/>
      <c r="R27" s="17"/>
      <c r="S27" s="18"/>
      <c r="T27" s="19"/>
      <c r="U27" s="19"/>
      <c r="V27" s="19"/>
      <c r="W27" s="19"/>
      <c r="X27" s="37"/>
      <c r="Y27" s="37"/>
      <c r="Z27" s="37"/>
      <c r="AA27" s="37"/>
      <c r="AB27" s="37"/>
      <c r="AC27" s="37"/>
      <c r="AD27" s="37"/>
      <c r="AE27" s="37"/>
      <c r="AF27" s="37"/>
      <c r="AG27" s="37"/>
      <c r="AH27" s="37"/>
      <c r="AI27" s="37"/>
      <c r="AJ27" s="19"/>
      <c r="AK27" s="33"/>
    </row>
    <row r="28" spans="1:60">
      <c r="A28" s="14" t="s">
        <v>215</v>
      </c>
      <c r="B28" s="14" t="s">
        <v>129</v>
      </c>
      <c r="C28" s="101"/>
      <c r="D28" s="101" t="s">
        <v>41</v>
      </c>
      <c r="E28" s="101">
        <v>2</v>
      </c>
      <c r="F28" s="16"/>
      <c r="G28" s="16"/>
      <c r="H28" s="16"/>
      <c r="I28" s="17"/>
      <c r="J28" s="17"/>
      <c r="K28" s="17"/>
      <c r="L28" s="18"/>
      <c r="M28" s="16"/>
      <c r="N28" s="16"/>
      <c r="O28" s="16"/>
      <c r="P28" s="17"/>
      <c r="Q28" s="17"/>
      <c r="R28" s="17"/>
      <c r="S28" s="18"/>
      <c r="T28" s="19"/>
      <c r="U28" s="19"/>
      <c r="V28" s="19"/>
      <c r="W28" s="19"/>
      <c r="X28" s="37"/>
      <c r="Y28" s="37"/>
      <c r="Z28" s="37"/>
      <c r="AA28" s="37"/>
      <c r="AB28" s="37"/>
      <c r="AC28" s="37"/>
      <c r="AD28" s="37"/>
      <c r="AE28" s="37"/>
      <c r="AF28" s="37"/>
      <c r="AG28" s="37"/>
      <c r="AH28" s="37"/>
      <c r="AI28" s="37"/>
      <c r="AJ28" s="19"/>
      <c r="AK28" s="33"/>
    </row>
    <row r="29" spans="1:60">
      <c r="A29" s="14" t="s">
        <v>216</v>
      </c>
      <c r="B29" s="14" t="s">
        <v>182</v>
      </c>
      <c r="C29" s="101"/>
      <c r="D29" s="101" t="s">
        <v>237</v>
      </c>
      <c r="E29" s="101">
        <v>4</v>
      </c>
      <c r="F29" s="16"/>
      <c r="G29" s="16"/>
      <c r="H29" s="16"/>
      <c r="I29" s="17"/>
      <c r="J29" s="17"/>
      <c r="K29" s="17"/>
      <c r="L29" s="18"/>
      <c r="M29" s="16"/>
      <c r="N29" s="16"/>
      <c r="O29" s="16"/>
      <c r="P29" s="17"/>
      <c r="Q29" s="17"/>
      <c r="R29" s="17"/>
      <c r="S29" s="18"/>
      <c r="T29" s="19"/>
      <c r="U29" s="19"/>
      <c r="V29" s="19"/>
      <c r="W29" s="19"/>
      <c r="X29" s="37"/>
      <c r="Y29" s="37"/>
      <c r="Z29" s="37"/>
      <c r="AA29" s="37"/>
      <c r="AB29" s="37"/>
      <c r="AC29" s="37"/>
      <c r="AD29" s="37"/>
      <c r="AE29" s="37"/>
      <c r="AF29" s="37"/>
      <c r="AG29" s="37"/>
      <c r="AH29" s="37"/>
      <c r="AI29" s="37"/>
      <c r="AJ29" s="19"/>
      <c r="AK29" s="33"/>
    </row>
    <row r="30" spans="1:60">
      <c r="T30" s="28"/>
      <c r="U30" s="29"/>
      <c r="V30" s="29"/>
      <c r="W30" s="29"/>
      <c r="X30" s="38"/>
      <c r="Y30" s="38"/>
      <c r="Z30" s="38"/>
      <c r="AA30" s="38"/>
      <c r="AB30" s="38"/>
      <c r="AC30" s="38"/>
      <c r="AD30" s="38"/>
      <c r="AE30" s="38"/>
      <c r="AF30" s="38"/>
      <c r="AG30" s="38"/>
      <c r="AH30" s="38"/>
      <c r="AI30" s="38"/>
      <c r="AJ30" s="29"/>
    </row>
    <row r="31" spans="1:60" s="127" customFormat="1" ht="14.25" thickBot="1">
      <c r="A31" s="122"/>
      <c r="B31" s="123" t="s">
        <v>285</v>
      </c>
      <c r="C31" s="124"/>
      <c r="D31" s="124"/>
      <c r="E31" s="125"/>
      <c r="F31" s="16">
        <f>AVERAGE(F3:F22)</f>
        <v>0.53784722222222214</v>
      </c>
      <c r="G31" s="16">
        <f t="shared" ref="G31:BH31" si="19">AVERAGE(G3:G22)</f>
        <v>0.57601678240740739</v>
      </c>
      <c r="H31" s="16">
        <f t="shared" si="19"/>
        <v>0.66276041666666674</v>
      </c>
      <c r="I31" s="17">
        <f t="shared" si="19"/>
        <v>3.8169560185185206E-2</v>
      </c>
      <c r="J31" s="17">
        <f t="shared" si="19"/>
        <v>1.0521412037037253E-2</v>
      </c>
      <c r="K31" s="17">
        <f t="shared" si="19"/>
        <v>0.12491319444444444</v>
      </c>
      <c r="L31" s="18">
        <f t="shared" si="19"/>
        <v>0.12916666666666671</v>
      </c>
      <c r="M31" s="16">
        <f t="shared" si="19"/>
        <v>0.28131944444444446</v>
      </c>
      <c r="N31" s="16">
        <f t="shared" si="19"/>
        <v>0.31540219907407413</v>
      </c>
      <c r="O31" s="16">
        <f t="shared" si="19"/>
        <v>0.43555439814814817</v>
      </c>
      <c r="P31" s="17">
        <f t="shared" si="19"/>
        <v>3.4082754629629626E-2</v>
      </c>
      <c r="Q31" s="17">
        <f t="shared" si="19"/>
        <v>8.8443287037037292E-3</v>
      </c>
      <c r="R31" s="17">
        <f t="shared" si="19"/>
        <v>0.15423495370370369</v>
      </c>
      <c r="S31" s="18">
        <f t="shared" si="19"/>
        <v>0.14999999999999997</v>
      </c>
      <c r="T31" s="126">
        <f t="shared" si="19"/>
        <v>7.9950000000000001</v>
      </c>
      <c r="U31" s="126">
        <f t="shared" si="19"/>
        <v>8.8150000000000013</v>
      </c>
      <c r="V31" s="126">
        <f t="shared" si="19"/>
        <v>4.375</v>
      </c>
      <c r="W31" s="126">
        <f t="shared" si="19"/>
        <v>3.2850000000000001</v>
      </c>
      <c r="X31" s="126">
        <f t="shared" si="19"/>
        <v>8.9000000000000021</v>
      </c>
      <c r="Y31" s="126">
        <f t="shared" si="19"/>
        <v>7.4599999999999991</v>
      </c>
      <c r="Z31" s="126">
        <f t="shared" si="19"/>
        <v>3.7350000000000003</v>
      </c>
      <c r="AA31" s="126">
        <f t="shared" si="19"/>
        <v>2.2399999999999998</v>
      </c>
      <c r="AB31" s="126">
        <f t="shared" si="19"/>
        <v>1.7399999999999998</v>
      </c>
      <c r="AC31" s="126">
        <f t="shared" si="19"/>
        <v>3.65</v>
      </c>
      <c r="AD31" s="126">
        <f t="shared" si="19"/>
        <v>3.14</v>
      </c>
      <c r="AE31" s="126">
        <f t="shared" si="19"/>
        <v>1.8200000000000003</v>
      </c>
      <c r="AF31" s="126">
        <f t="shared" si="19"/>
        <v>5.27</v>
      </c>
      <c r="AG31" s="126">
        <f t="shared" si="19"/>
        <v>2.31</v>
      </c>
      <c r="AH31" s="126">
        <f t="shared" si="19"/>
        <v>2.84</v>
      </c>
      <c r="AI31" s="126">
        <f t="shared" si="19"/>
        <v>4.6899999999999995</v>
      </c>
      <c r="AJ31" s="126">
        <f t="shared" si="19"/>
        <v>72.265000000000015</v>
      </c>
      <c r="AK31" s="126">
        <f t="shared" si="19"/>
        <v>3.95</v>
      </c>
      <c r="AL31" s="126" t="e">
        <f t="shared" si="19"/>
        <v>#DIV/0!</v>
      </c>
      <c r="AM31" s="126"/>
      <c r="AN31" s="126"/>
      <c r="AO31" s="126">
        <f t="shared" si="19"/>
        <v>13.792499999999999</v>
      </c>
      <c r="AP31" s="126">
        <f t="shared" si="19"/>
        <v>13.02</v>
      </c>
      <c r="AQ31" s="126">
        <f t="shared" si="19"/>
        <v>13.897499999999997</v>
      </c>
      <c r="AR31" s="126">
        <f t="shared" si="19"/>
        <v>13.267857142857144</v>
      </c>
      <c r="AS31" s="126">
        <f t="shared" si="19"/>
        <v>13.510416666666668</v>
      </c>
      <c r="AT31" s="126">
        <f t="shared" si="19"/>
        <v>14.154999999999998</v>
      </c>
      <c r="AU31" s="126">
        <f t="shared" si="19"/>
        <v>12.715</v>
      </c>
      <c r="AV31" s="126">
        <f t="shared" si="19"/>
        <v>13.419999999999998</v>
      </c>
      <c r="AW31" s="126">
        <f t="shared" si="19"/>
        <v>13.221428571428572</v>
      </c>
      <c r="AX31" s="126">
        <f t="shared" si="19"/>
        <v>13.398124999999999</v>
      </c>
      <c r="AY31" s="126">
        <f t="shared" si="19"/>
        <v>13.2075</v>
      </c>
      <c r="AZ31" s="126">
        <f t="shared" si="19"/>
        <v>12.362499999999999</v>
      </c>
      <c r="BA31" s="126">
        <f t="shared" si="19"/>
        <v>12.23</v>
      </c>
      <c r="BB31" s="126">
        <f t="shared" si="19"/>
        <v>12.37142857142857</v>
      </c>
      <c r="BC31" s="126">
        <f t="shared" si="19"/>
        <v>12.587916666666665</v>
      </c>
      <c r="BD31" s="126">
        <f t="shared" si="19"/>
        <v>13.714999999999998</v>
      </c>
      <c r="BE31" s="126">
        <f t="shared" si="19"/>
        <v>12.860000000000003</v>
      </c>
      <c r="BF31" s="126">
        <f t="shared" si="19"/>
        <v>12.095000000000002</v>
      </c>
      <c r="BG31" s="126">
        <f t="shared" si="19"/>
        <v>12.285714285714286</v>
      </c>
      <c r="BH31" s="126">
        <f t="shared" si="19"/>
        <v>12.80875</v>
      </c>
    </row>
    <row r="32" spans="1:60" ht="14.25">
      <c r="I32" s="106" t="s">
        <v>243</v>
      </c>
    </row>
    <row r="33" spans="9:12">
      <c r="I33" s="25" t="s">
        <v>244</v>
      </c>
    </row>
    <row r="34" spans="9:12">
      <c r="I34" s="25" t="s">
        <v>258</v>
      </c>
    </row>
    <row r="35" spans="9:12">
      <c r="I35" s="25" t="s">
        <v>245</v>
      </c>
    </row>
    <row r="36" spans="9:12">
      <c r="I36" s="25" t="s">
        <v>247</v>
      </c>
    </row>
    <row r="37" spans="9:12">
      <c r="I37" s="25" t="s">
        <v>246</v>
      </c>
    </row>
    <row r="38" spans="9:12">
      <c r="I38" s="25" t="s">
        <v>249</v>
      </c>
    </row>
    <row r="39" spans="9:12">
      <c r="I39" s="25" t="s">
        <v>260</v>
      </c>
    </row>
    <row r="40" spans="9:12">
      <c r="I40" s="25" t="s">
        <v>248</v>
      </c>
    </row>
    <row r="41" spans="9:12">
      <c r="J41" s="105" t="s">
        <v>250</v>
      </c>
      <c r="K41" s="25" t="s">
        <v>252</v>
      </c>
      <c r="L41" s="27" t="s">
        <v>251</v>
      </c>
    </row>
    <row r="42" spans="9:12">
      <c r="J42" s="25">
        <v>0.125</v>
      </c>
      <c r="K42" s="104">
        <v>0</v>
      </c>
      <c r="L42" s="103">
        <v>5</v>
      </c>
    </row>
    <row r="43" spans="9:12">
      <c r="J43" s="25">
        <v>0.12512731481481482</v>
      </c>
      <c r="K43" s="104">
        <v>0</v>
      </c>
      <c r="L43" s="103">
        <v>5</v>
      </c>
    </row>
    <row r="44" spans="9:12">
      <c r="J44" s="25">
        <v>0.12513888888888888</v>
      </c>
      <c r="K44" s="104">
        <v>0</v>
      </c>
      <c r="L44" s="103">
        <v>5</v>
      </c>
    </row>
    <row r="45" spans="9:12">
      <c r="J45" s="25">
        <v>0.125150462962963</v>
      </c>
      <c r="K45" s="104">
        <v>0.1</v>
      </c>
      <c r="L45" s="103">
        <v>4.9000000000000004</v>
      </c>
    </row>
    <row r="46" spans="9:12">
      <c r="J46" s="25">
        <v>0.12516203703703699</v>
      </c>
      <c r="K46" s="104"/>
      <c r="L46" s="103"/>
    </row>
    <row r="47" spans="9:12">
      <c r="J47" s="25" t="s">
        <v>253</v>
      </c>
      <c r="K47" s="104"/>
      <c r="L47" s="103"/>
    </row>
    <row r="48" spans="9:12">
      <c r="J48" s="25">
        <v>0.12527777777777779</v>
      </c>
      <c r="K48" s="104">
        <v>0.1</v>
      </c>
      <c r="L48" s="103">
        <v>4.9000000000000004</v>
      </c>
    </row>
    <row r="49" spans="9:12">
      <c r="J49" s="25" t="s">
        <v>253</v>
      </c>
      <c r="K49" s="104"/>
      <c r="L49" s="103"/>
    </row>
    <row r="50" spans="9:12">
      <c r="J50" s="25">
        <v>0.12541666666666665</v>
      </c>
      <c r="K50" s="104">
        <v>0.1</v>
      </c>
      <c r="L50" s="103">
        <v>4.9000000000000004</v>
      </c>
    </row>
    <row r="51" spans="9:12">
      <c r="J51" s="25">
        <v>0.12542824074074074</v>
      </c>
      <c r="K51" s="104">
        <v>0.2</v>
      </c>
      <c r="L51" s="103">
        <v>4.8</v>
      </c>
    </row>
    <row r="52" spans="9:12">
      <c r="J52" s="25" t="s">
        <v>253</v>
      </c>
      <c r="K52" s="104"/>
      <c r="L52" s="103"/>
    </row>
    <row r="53" spans="9:12">
      <c r="J53" s="25">
        <v>0.12568287037037038</v>
      </c>
      <c r="K53" s="104">
        <v>0.2</v>
      </c>
      <c r="L53" s="103">
        <v>4.8</v>
      </c>
    </row>
    <row r="54" spans="9:12">
      <c r="J54" s="25">
        <v>0.12569444444444444</v>
      </c>
      <c r="K54" s="104">
        <v>0.3</v>
      </c>
      <c r="L54" s="103">
        <v>4.7</v>
      </c>
    </row>
    <row r="55" spans="9:12">
      <c r="J55" s="25" t="s">
        <v>253</v>
      </c>
    </row>
    <row r="56" spans="9:12">
      <c r="I56" s="25" t="s">
        <v>254</v>
      </c>
    </row>
    <row r="57" spans="9:12">
      <c r="I57" s="25" t="s">
        <v>257</v>
      </c>
    </row>
    <row r="58" spans="9:12">
      <c r="I58" s="25" t="s">
        <v>255</v>
      </c>
    </row>
    <row r="59" spans="9:12">
      <c r="I59" s="25" t="s">
        <v>256</v>
      </c>
    </row>
    <row r="60" spans="9:12">
      <c r="I60" s="25" t="s">
        <v>259</v>
      </c>
    </row>
  </sheetData>
  <phoneticPr fontId="3"/>
  <conditionalFormatting sqref="AS3:AS22 AX3:AX22">
    <cfRule type="cellIs" dxfId="21" priority="1" stopIfTrue="1" operator="lessThanOrEqual">
      <formula>12</formula>
    </cfRule>
  </conditionalFormatting>
  <conditionalFormatting sqref="BH3:BH22 BC3:BC22">
    <cfRule type="cellIs" dxfId="20" priority="2" stopIfTrue="1" operator="lessThanOrEqual">
      <formula>11</formula>
    </cfRule>
  </conditionalFormatting>
  <pageMargins left="0.78700000000000003" right="0.78700000000000003" top="0.98399999999999999" bottom="0.98399999999999999" header="0.51200000000000001" footer="0.51200000000000001"/>
  <pageSetup paperSize="9" scale="74"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BH63"/>
  <sheetViews>
    <sheetView workbookViewId="0">
      <pane xSplit="2" ySplit="1" topLeftCell="D32" activePane="bottomRight" state="frozen"/>
      <selection pane="topRight" activeCell="C1" sqref="C1"/>
      <selection pane="bottomLeft" activeCell="A2" sqref="A2"/>
      <selection pane="bottomRight" activeCell="AK17" sqref="AK17"/>
    </sheetView>
  </sheetViews>
  <sheetFormatPr defaultRowHeight="13.5"/>
  <cols>
    <col min="1" max="1" width="3.75" style="22" bestFit="1" customWidth="1"/>
    <col min="2" max="2" width="11.375" style="22" bestFit="1" customWidth="1"/>
    <col min="3" max="3" width="6.625" style="23" hidden="1" customWidth="1"/>
    <col min="4" max="4" width="5.75" style="23" customWidth="1"/>
    <col min="5" max="7" width="8.25" style="24" hidden="1" customWidth="1"/>
    <col min="8" max="8" width="7.5" style="25" hidden="1" customWidth="1"/>
    <col min="9" max="10" width="7" style="25" hidden="1" customWidth="1"/>
    <col min="11" max="11" width="7.5" style="27" hidden="1" customWidth="1"/>
    <col min="12" max="12" width="7.25" style="26" hidden="1" customWidth="1"/>
    <col min="13" max="13" width="7.25" style="24" hidden="1" customWidth="1"/>
    <col min="14" max="14" width="8.125" style="24" hidden="1" customWidth="1"/>
    <col min="15" max="17" width="6.875" style="25" hidden="1" customWidth="1"/>
    <col min="18" max="18" width="7.75" style="27" hidden="1" customWidth="1"/>
    <col min="19" max="19" width="7.125" style="30" customWidth="1"/>
    <col min="20" max="22" width="7.125" style="31" customWidth="1"/>
    <col min="23" max="34" width="7.125" style="39" customWidth="1"/>
    <col min="35" max="35" width="6.75" style="31" bestFit="1" customWidth="1"/>
    <col min="36" max="36" width="5.75" style="31" bestFit="1" customWidth="1"/>
  </cols>
  <sheetData>
    <row r="1" spans="1:60" s="6" customFormat="1">
      <c r="A1" s="1" t="s">
        <v>87</v>
      </c>
      <c r="B1" s="1" t="s">
        <v>88</v>
      </c>
      <c r="C1" s="8" t="s">
        <v>157</v>
      </c>
      <c r="D1" s="8" t="s">
        <v>228</v>
      </c>
      <c r="E1" s="2" t="s">
        <v>158</v>
      </c>
      <c r="F1" s="2" t="s">
        <v>159</v>
      </c>
      <c r="G1" s="2" t="s">
        <v>160</v>
      </c>
      <c r="H1" s="3" t="s">
        <v>91</v>
      </c>
      <c r="I1" s="3" t="s">
        <v>92</v>
      </c>
      <c r="J1" s="3" t="s">
        <v>239</v>
      </c>
      <c r="K1" s="3" t="s">
        <v>240</v>
      </c>
      <c r="L1" s="2" t="s">
        <v>109</v>
      </c>
      <c r="M1" s="2" t="s">
        <v>110</v>
      </c>
      <c r="N1" s="2" t="s">
        <v>111</v>
      </c>
      <c r="O1" s="3" t="s">
        <v>93</v>
      </c>
      <c r="P1" s="3" t="s">
        <v>94</v>
      </c>
      <c r="Q1" s="3" t="s">
        <v>241</v>
      </c>
      <c r="R1" s="3" t="s">
        <v>242</v>
      </c>
      <c r="S1" s="4" t="s">
        <v>95</v>
      </c>
      <c r="T1" s="5" t="s">
        <v>96</v>
      </c>
      <c r="U1" s="5" t="s">
        <v>0</v>
      </c>
      <c r="V1" s="5" t="s">
        <v>1</v>
      </c>
      <c r="W1" s="133" t="s">
        <v>97</v>
      </c>
      <c r="X1" s="35" t="s">
        <v>2</v>
      </c>
      <c r="Y1" s="35" t="s">
        <v>3</v>
      </c>
      <c r="Z1" s="35" t="s">
        <v>4</v>
      </c>
      <c r="AA1" s="35" t="s">
        <v>214</v>
      </c>
      <c r="AB1" s="35" t="s">
        <v>5</v>
      </c>
      <c r="AC1" s="133" t="s">
        <v>6</v>
      </c>
      <c r="AD1" s="35" t="s">
        <v>7</v>
      </c>
      <c r="AE1" s="35" t="s">
        <v>8</v>
      </c>
      <c r="AF1" s="35" t="s">
        <v>9</v>
      </c>
      <c r="AG1" s="35" t="s">
        <v>10</v>
      </c>
      <c r="AH1" s="35" t="s">
        <v>11</v>
      </c>
      <c r="AI1" s="5" t="s">
        <v>12</v>
      </c>
      <c r="AJ1" s="5" t="s">
        <v>98</v>
      </c>
      <c r="AK1" s="6" t="s">
        <v>105</v>
      </c>
      <c r="AL1" s="6" t="s">
        <v>190</v>
      </c>
      <c r="AM1" s="6" t="s">
        <v>594</v>
      </c>
      <c r="AN1" s="6" t="s">
        <v>291</v>
      </c>
      <c r="AO1" s="6" t="s">
        <v>289</v>
      </c>
      <c r="AT1" s="6" t="s">
        <v>288</v>
      </c>
      <c r="AY1" s="6" t="s">
        <v>286</v>
      </c>
      <c r="BD1" s="6" t="s">
        <v>287</v>
      </c>
    </row>
    <row r="2" spans="1:60" s="13" customFormat="1">
      <c r="A2" s="7"/>
      <c r="B2" s="7" t="s">
        <v>589</v>
      </c>
      <c r="C2" s="8"/>
      <c r="D2" s="8"/>
      <c r="E2" s="9"/>
      <c r="F2" s="9"/>
      <c r="G2" s="9"/>
      <c r="H2" s="10"/>
      <c r="I2" s="10"/>
      <c r="J2" s="10"/>
      <c r="K2" s="11"/>
      <c r="L2" s="9"/>
      <c r="M2" s="9"/>
      <c r="N2" s="9"/>
      <c r="O2" s="10"/>
      <c r="P2" s="10"/>
      <c r="Q2" s="10"/>
      <c r="R2" s="11"/>
      <c r="S2" s="12">
        <v>15</v>
      </c>
      <c r="T2" s="12">
        <v>15</v>
      </c>
      <c r="U2" s="12">
        <v>5</v>
      </c>
      <c r="V2" s="12">
        <v>5</v>
      </c>
      <c r="W2" s="36">
        <v>10</v>
      </c>
      <c r="X2" s="36">
        <v>8</v>
      </c>
      <c r="Y2" s="36">
        <v>4</v>
      </c>
      <c r="Z2" s="36">
        <v>5</v>
      </c>
      <c r="AA2" s="36">
        <v>2</v>
      </c>
      <c r="AB2" s="36">
        <v>7</v>
      </c>
      <c r="AC2" s="36">
        <v>4</v>
      </c>
      <c r="AD2" s="36">
        <v>2</v>
      </c>
      <c r="AE2" s="36">
        <v>6</v>
      </c>
      <c r="AF2" s="36">
        <v>4</v>
      </c>
      <c r="AG2" s="36">
        <v>3</v>
      </c>
      <c r="AH2" s="36">
        <v>5</v>
      </c>
      <c r="AI2" s="12">
        <f>SUM(L2:AH2)</f>
        <v>100</v>
      </c>
      <c r="AJ2" s="32"/>
    </row>
    <row r="3" spans="1:60">
      <c r="A3" s="14" t="s">
        <v>166</v>
      </c>
      <c r="B3" s="14" t="s">
        <v>571</v>
      </c>
      <c r="C3" s="101" t="s">
        <v>261</v>
      </c>
      <c r="D3" s="101">
        <v>4</v>
      </c>
      <c r="E3" s="16">
        <v>0.54166666666666663</v>
      </c>
      <c r="F3" s="16">
        <v>0.57344907407407408</v>
      </c>
      <c r="G3" s="16">
        <v>0.61958333333333326</v>
      </c>
      <c r="H3" s="17">
        <f t="shared" ref="H3:H19" si="0">F3-E3</f>
        <v>3.1782407407407454E-2</v>
      </c>
      <c r="I3" s="17">
        <f t="shared" ref="I3:I16" si="1">H3-MIN(H$3:H$16)</f>
        <v>1.3402777777777763E-2</v>
      </c>
      <c r="J3" s="17">
        <f t="shared" ref="J3:J19" si="2">G3-E3</f>
        <v>7.7916666666666634E-2</v>
      </c>
      <c r="K3" s="18">
        <v>8.3333333333333329E-2</v>
      </c>
      <c r="L3" s="16">
        <v>0.27152777777777776</v>
      </c>
      <c r="M3" s="16">
        <v>0.30052083333333335</v>
      </c>
      <c r="N3" s="16">
        <v>0.4203587962962963</v>
      </c>
      <c r="O3" s="17">
        <f t="shared" ref="O3:O19" si="3">M3-L3</f>
        <v>2.8993055555555591E-2</v>
      </c>
      <c r="P3" s="17">
        <f t="shared" ref="P3:P16" si="4">O3-MIN(O$3:O$16)</f>
        <v>1.0648148148148184E-2</v>
      </c>
      <c r="Q3" s="17">
        <f t="shared" ref="Q3:Q19" si="5">N3-L3</f>
        <v>0.14883101851851854</v>
      </c>
      <c r="R3" s="18">
        <v>0.16666666666666666</v>
      </c>
      <c r="S3" s="19">
        <f>ROUND(MAX(S$2-I3*60*24*0.5,0),1)</f>
        <v>5.4</v>
      </c>
      <c r="T3" s="19">
        <f t="shared" ref="T3:T18" si="6">ROUND(MAX(T$2-P3*60*24*0.5,0),1)</f>
        <v>7.3</v>
      </c>
      <c r="U3" s="19">
        <f>ROUND(MAX(MIN(U$2+(K3-J3)*60*24*0.2,$U$2),0),1)</f>
        <v>5</v>
      </c>
      <c r="V3" s="19">
        <f>ROUND(MAX(MIN($V$2+(R3-Q3)*60*24*0.2,$V$2),0),1)</f>
        <v>5</v>
      </c>
      <c r="W3" s="37">
        <v>7.5</v>
      </c>
      <c r="X3" s="37">
        <v>7.3</v>
      </c>
      <c r="Y3" s="37">
        <v>4</v>
      </c>
      <c r="Z3" s="37">
        <v>0</v>
      </c>
      <c r="AA3" s="37">
        <v>1.6</v>
      </c>
      <c r="AB3" s="37">
        <v>3</v>
      </c>
      <c r="AC3" s="37">
        <v>3.2</v>
      </c>
      <c r="AD3" s="37">
        <v>1.6</v>
      </c>
      <c r="AE3" s="37">
        <v>4.7</v>
      </c>
      <c r="AF3" s="37">
        <v>1.5</v>
      </c>
      <c r="AG3" s="37">
        <v>3</v>
      </c>
      <c r="AH3" s="37">
        <v>5</v>
      </c>
      <c r="AI3" s="19">
        <f t="shared" ref="AI3:AI19" si="7">SUM(S3:AH3)</f>
        <v>65.100000000000009</v>
      </c>
      <c r="AJ3" s="33">
        <f t="shared" ref="AJ3:AJ9" si="8">RANK(AI3,$AI$3:$AI$9)</f>
        <v>6</v>
      </c>
      <c r="AL3">
        <f t="shared" ref="AL3:AL9" si="9">RANK(I3,$I$3:$I$9,1)</f>
        <v>7</v>
      </c>
      <c r="AM3">
        <v>1</v>
      </c>
      <c r="AN3">
        <v>2</v>
      </c>
      <c r="AO3">
        <v>14.6</v>
      </c>
      <c r="AP3">
        <v>13.75</v>
      </c>
      <c r="AQ3">
        <v>12.4</v>
      </c>
      <c r="AR3">
        <v>13.5</v>
      </c>
      <c r="AS3" s="121">
        <f t="shared" ref="AS3:AS19" si="10">AVERAGE(AO3:AR3)</f>
        <v>13.5625</v>
      </c>
      <c r="AT3">
        <v>14.5</v>
      </c>
      <c r="AU3">
        <v>12.8</v>
      </c>
      <c r="AV3">
        <v>11</v>
      </c>
      <c r="AW3">
        <v>13.6</v>
      </c>
      <c r="AX3" s="121">
        <f t="shared" ref="AX3:AX19" si="11">AVERAGE(AT3:AW3)</f>
        <v>12.975</v>
      </c>
      <c r="AY3">
        <v>14.15</v>
      </c>
      <c r="AZ3">
        <v>10.75</v>
      </c>
      <c r="BA3">
        <v>11.8</v>
      </c>
      <c r="BB3">
        <v>12.55</v>
      </c>
      <c r="BC3" s="121">
        <f t="shared" ref="BC3:BC19" si="12">AVERAGE(AY3:BB3)</f>
        <v>12.3125</v>
      </c>
      <c r="BD3">
        <v>14.1</v>
      </c>
      <c r="BE3">
        <v>10.8</v>
      </c>
      <c r="BF3">
        <v>12</v>
      </c>
      <c r="BG3">
        <v>12.6</v>
      </c>
      <c r="BH3" s="121">
        <f t="shared" ref="BH3:BH19" si="13">AVERAGE(BD3:BG3)</f>
        <v>12.375</v>
      </c>
    </row>
    <row r="4" spans="1:60">
      <c r="A4" s="14" t="s">
        <v>568</v>
      </c>
      <c r="B4" s="14" t="s">
        <v>213</v>
      </c>
      <c r="C4" s="101" t="s">
        <v>262</v>
      </c>
      <c r="D4" s="102">
        <v>4</v>
      </c>
      <c r="E4" s="16">
        <v>0.54236111111111118</v>
      </c>
      <c r="F4" s="16">
        <v>0.57173611111111111</v>
      </c>
      <c r="G4" s="16">
        <v>0.61692129629629633</v>
      </c>
      <c r="H4" s="17">
        <f t="shared" si="0"/>
        <v>2.9374999999999929E-2</v>
      </c>
      <c r="I4" s="17">
        <f t="shared" si="1"/>
        <v>1.0995370370370239E-2</v>
      </c>
      <c r="J4" s="17">
        <f t="shared" si="2"/>
        <v>7.4560185185185146E-2</v>
      </c>
      <c r="K4" s="18">
        <v>8.3333333333333329E-2</v>
      </c>
      <c r="L4" s="16">
        <v>0.27013888888888887</v>
      </c>
      <c r="M4" s="16">
        <v>0.30289351851851853</v>
      </c>
      <c r="N4" s="16">
        <v>0.4262037037037037</v>
      </c>
      <c r="O4" s="17">
        <f t="shared" si="3"/>
        <v>3.2754629629629661E-2</v>
      </c>
      <c r="P4" s="17">
        <f t="shared" si="4"/>
        <v>1.4409722222222254E-2</v>
      </c>
      <c r="Q4" s="17">
        <f t="shared" si="5"/>
        <v>0.15606481481481482</v>
      </c>
      <c r="R4" s="18">
        <v>0.16666666666666666</v>
      </c>
      <c r="S4" s="19">
        <f t="shared" ref="S4:S16" si="14">ROUND(MAX(S$2-I4*60*24*0.5,0),1)</f>
        <v>7.1</v>
      </c>
      <c r="T4" s="19">
        <f t="shared" si="6"/>
        <v>4.5999999999999996</v>
      </c>
      <c r="U4" s="19">
        <f t="shared" ref="U4:U19" si="15">ROUND(MAX(MIN(U$2+(K4-J4)*60*24*0.2,$U$2),0),1)</f>
        <v>5</v>
      </c>
      <c r="V4" s="19">
        <f t="shared" ref="V4:V19" si="16">ROUND(MAX(MIN($V$2+(R4-Q4)*60*24*0.2,$V$2),0),1)</f>
        <v>5</v>
      </c>
      <c r="W4" s="37">
        <v>7.6</v>
      </c>
      <c r="X4" s="37">
        <v>7.5</v>
      </c>
      <c r="Y4" s="37">
        <v>4</v>
      </c>
      <c r="Z4" s="37">
        <v>3.9</v>
      </c>
      <c r="AA4" s="37">
        <v>1.4</v>
      </c>
      <c r="AB4" s="37">
        <v>4.5</v>
      </c>
      <c r="AC4" s="37">
        <v>4</v>
      </c>
      <c r="AD4" s="37">
        <v>1.2</v>
      </c>
      <c r="AE4" s="37">
        <v>5.2</v>
      </c>
      <c r="AF4" s="37">
        <v>1.8</v>
      </c>
      <c r="AG4" s="37">
        <v>1.5</v>
      </c>
      <c r="AH4" s="37">
        <v>5</v>
      </c>
      <c r="AI4" s="19">
        <f t="shared" si="7"/>
        <v>69.3</v>
      </c>
      <c r="AJ4" s="33">
        <f t="shared" si="8"/>
        <v>5</v>
      </c>
      <c r="AL4">
        <f t="shared" si="9"/>
        <v>5</v>
      </c>
      <c r="AM4">
        <v>2</v>
      </c>
      <c r="AN4">
        <v>2.5</v>
      </c>
      <c r="AO4">
        <v>21.5</v>
      </c>
      <c r="AP4">
        <v>16.100000000000001</v>
      </c>
      <c r="AQ4">
        <v>16.2</v>
      </c>
      <c r="AR4">
        <v>14.4</v>
      </c>
      <c r="AS4" s="121">
        <f t="shared" si="10"/>
        <v>17.05</v>
      </c>
      <c r="AT4">
        <v>21.2</v>
      </c>
      <c r="AU4">
        <v>16.3</v>
      </c>
      <c r="AV4">
        <v>16.100000000000001</v>
      </c>
      <c r="AW4">
        <v>15.3</v>
      </c>
      <c r="AX4" s="121">
        <f t="shared" si="11"/>
        <v>17.225000000000001</v>
      </c>
      <c r="AY4">
        <v>18.25</v>
      </c>
      <c r="AZ4">
        <v>13.05</v>
      </c>
      <c r="BA4">
        <v>15.9</v>
      </c>
      <c r="BB4">
        <v>15.05</v>
      </c>
      <c r="BC4" s="121">
        <f t="shared" si="12"/>
        <v>15.5625</v>
      </c>
      <c r="BD4">
        <v>18</v>
      </c>
      <c r="BE4">
        <v>13.4</v>
      </c>
      <c r="BF4">
        <v>16</v>
      </c>
      <c r="BG4">
        <v>15.2</v>
      </c>
      <c r="BH4" s="121">
        <f t="shared" si="13"/>
        <v>15.649999999999999</v>
      </c>
    </row>
    <row r="5" spans="1:60">
      <c r="A5" s="14" t="s">
        <v>165</v>
      </c>
      <c r="B5" s="14" t="s">
        <v>569</v>
      </c>
      <c r="C5" s="101" t="s">
        <v>263</v>
      </c>
      <c r="D5" s="101">
        <v>4</v>
      </c>
      <c r="E5" s="16">
        <v>0.54305555555555596</v>
      </c>
      <c r="F5" s="16">
        <v>0.56189814814814809</v>
      </c>
      <c r="G5" s="16">
        <v>0.6227893518518518</v>
      </c>
      <c r="H5" s="17">
        <f t="shared" si="0"/>
        <v>1.8842592592592133E-2</v>
      </c>
      <c r="I5" s="17">
        <f t="shared" si="1"/>
        <v>4.6296296296244321E-4</v>
      </c>
      <c r="J5" s="17">
        <f t="shared" si="2"/>
        <v>7.9733796296295845E-2</v>
      </c>
      <c r="K5" s="18">
        <v>8.3333333333333329E-2</v>
      </c>
      <c r="L5" s="16">
        <v>0.26805555555555555</v>
      </c>
      <c r="M5" s="16">
        <v>0.28721064814814817</v>
      </c>
      <c r="N5" s="16">
        <v>0.40752314814814811</v>
      </c>
      <c r="O5" s="17">
        <f t="shared" si="3"/>
        <v>1.9155092592592626E-2</v>
      </c>
      <c r="P5" s="17">
        <f t="shared" si="4"/>
        <v>8.1018518518521931E-4</v>
      </c>
      <c r="Q5" s="17">
        <f t="shared" si="5"/>
        <v>0.13946759259259256</v>
      </c>
      <c r="R5" s="18">
        <v>0.16666666666666666</v>
      </c>
      <c r="S5" s="19">
        <f t="shared" si="14"/>
        <v>14.7</v>
      </c>
      <c r="T5" s="19">
        <f t="shared" si="6"/>
        <v>14.4</v>
      </c>
      <c r="U5" s="19">
        <f t="shared" si="15"/>
        <v>5</v>
      </c>
      <c r="V5" s="19">
        <f t="shared" si="16"/>
        <v>5</v>
      </c>
      <c r="W5" s="37">
        <v>10</v>
      </c>
      <c r="X5" s="37">
        <v>8</v>
      </c>
      <c r="Y5" s="37">
        <v>4</v>
      </c>
      <c r="Z5" s="37">
        <v>4.7</v>
      </c>
      <c r="AA5" s="37">
        <v>2</v>
      </c>
      <c r="AB5" s="37">
        <v>7</v>
      </c>
      <c r="AC5" s="37">
        <v>3.6</v>
      </c>
      <c r="AD5" s="37">
        <v>1.6</v>
      </c>
      <c r="AE5" s="37">
        <v>5.9</v>
      </c>
      <c r="AF5" s="37">
        <v>3.7</v>
      </c>
      <c r="AG5" s="37">
        <v>3</v>
      </c>
      <c r="AH5" s="37">
        <v>5</v>
      </c>
      <c r="AI5" s="19">
        <f t="shared" si="7"/>
        <v>97.6</v>
      </c>
      <c r="AJ5" s="33">
        <f t="shared" si="8"/>
        <v>1</v>
      </c>
      <c r="AL5">
        <f t="shared" si="9"/>
        <v>2</v>
      </c>
      <c r="AM5">
        <v>2</v>
      </c>
      <c r="AN5">
        <v>5</v>
      </c>
      <c r="AO5">
        <v>11.8</v>
      </c>
      <c r="AP5">
        <v>12.9</v>
      </c>
      <c r="AQ5">
        <v>14.2</v>
      </c>
      <c r="AR5">
        <v>10.1</v>
      </c>
      <c r="AS5" s="121">
        <f t="shared" si="10"/>
        <v>12.250000000000002</v>
      </c>
      <c r="AT5">
        <v>11.9</v>
      </c>
      <c r="AU5">
        <v>12.9</v>
      </c>
      <c r="AV5">
        <v>14.3</v>
      </c>
      <c r="AW5">
        <v>10.1</v>
      </c>
      <c r="AX5" s="121">
        <f t="shared" si="11"/>
        <v>12.3</v>
      </c>
      <c r="AY5">
        <v>8.1999999999999993</v>
      </c>
      <c r="AZ5">
        <v>15</v>
      </c>
      <c r="BA5">
        <v>12.05</v>
      </c>
      <c r="BB5">
        <v>11</v>
      </c>
      <c r="BC5" s="121">
        <f t="shared" si="12"/>
        <v>11.5625</v>
      </c>
      <c r="BD5">
        <v>14.9</v>
      </c>
      <c r="BE5">
        <v>11</v>
      </c>
      <c r="BF5">
        <v>12.4</v>
      </c>
      <c r="BG5">
        <v>8.1999999999999993</v>
      </c>
      <c r="BH5" s="121">
        <f t="shared" si="13"/>
        <v>11.625</v>
      </c>
    </row>
    <row r="6" spans="1:60">
      <c r="A6" s="14" t="s">
        <v>570</v>
      </c>
      <c r="B6" s="14" t="s">
        <v>123</v>
      </c>
      <c r="C6" s="101" t="s">
        <v>264</v>
      </c>
      <c r="D6" s="101">
        <v>4</v>
      </c>
      <c r="E6" s="16">
        <v>0.54374999999999996</v>
      </c>
      <c r="F6" s="16">
        <v>0.56212962962962965</v>
      </c>
      <c r="G6" s="16">
        <v>0.62254629629629632</v>
      </c>
      <c r="H6" s="17">
        <f t="shared" si="0"/>
        <v>1.837962962962969E-2</v>
      </c>
      <c r="I6" s="17">
        <f t="shared" si="1"/>
        <v>0</v>
      </c>
      <c r="J6" s="17">
        <f t="shared" si="2"/>
        <v>7.8796296296296364E-2</v>
      </c>
      <c r="K6" s="18">
        <v>8.3333333333333329E-2</v>
      </c>
      <c r="L6" s="16">
        <v>0.2673611111111111</v>
      </c>
      <c r="M6" s="16">
        <v>0.28570601851851851</v>
      </c>
      <c r="N6" s="16">
        <v>0.42328703703703702</v>
      </c>
      <c r="O6" s="17">
        <f t="shared" si="3"/>
        <v>1.8344907407407407E-2</v>
      </c>
      <c r="P6" s="17">
        <f t="shared" si="4"/>
        <v>0</v>
      </c>
      <c r="Q6" s="17">
        <f t="shared" si="5"/>
        <v>0.15592592592592591</v>
      </c>
      <c r="R6" s="18">
        <v>0.16666666666666666</v>
      </c>
      <c r="S6" s="19">
        <f t="shared" si="14"/>
        <v>15</v>
      </c>
      <c r="T6" s="19">
        <f t="shared" si="6"/>
        <v>15</v>
      </c>
      <c r="U6" s="19">
        <f t="shared" si="15"/>
        <v>5</v>
      </c>
      <c r="V6" s="19">
        <f t="shared" si="16"/>
        <v>5</v>
      </c>
      <c r="W6" s="37">
        <v>10</v>
      </c>
      <c r="X6" s="37">
        <v>8</v>
      </c>
      <c r="Y6" s="37">
        <v>4</v>
      </c>
      <c r="Z6" s="37">
        <v>4.9000000000000004</v>
      </c>
      <c r="AA6" s="37">
        <v>2</v>
      </c>
      <c r="AB6" s="37">
        <v>4.5</v>
      </c>
      <c r="AC6" s="37">
        <v>3.6</v>
      </c>
      <c r="AD6" s="37">
        <v>2</v>
      </c>
      <c r="AE6" s="37">
        <v>5.9</v>
      </c>
      <c r="AF6" s="37">
        <v>4</v>
      </c>
      <c r="AG6" s="37">
        <v>2.5</v>
      </c>
      <c r="AH6" s="37">
        <v>5</v>
      </c>
      <c r="AI6" s="19">
        <f t="shared" si="7"/>
        <v>96.4</v>
      </c>
      <c r="AJ6" s="33">
        <f t="shared" si="8"/>
        <v>2</v>
      </c>
      <c r="AL6">
        <f t="shared" si="9"/>
        <v>1</v>
      </c>
      <c r="AM6">
        <v>1</v>
      </c>
      <c r="AN6">
        <v>3.5</v>
      </c>
      <c r="AO6">
        <v>10.7</v>
      </c>
      <c r="AP6">
        <v>13.45</v>
      </c>
      <c r="AQ6">
        <v>13.05</v>
      </c>
      <c r="AR6">
        <v>12.9</v>
      </c>
      <c r="AS6" s="121">
        <f t="shared" si="10"/>
        <v>12.525</v>
      </c>
      <c r="AT6">
        <v>13.5</v>
      </c>
      <c r="AU6">
        <v>10.7</v>
      </c>
      <c r="AV6">
        <v>13</v>
      </c>
      <c r="AW6">
        <v>12.8</v>
      </c>
      <c r="AX6" s="121">
        <f t="shared" si="11"/>
        <v>12.5</v>
      </c>
      <c r="AY6">
        <v>13.6</v>
      </c>
      <c r="AZ6">
        <v>9.1999999999999993</v>
      </c>
      <c r="BA6">
        <v>13</v>
      </c>
      <c r="BB6">
        <v>13.2</v>
      </c>
      <c r="BC6" s="121">
        <f t="shared" si="12"/>
        <v>12.25</v>
      </c>
      <c r="BD6">
        <v>13.7</v>
      </c>
      <c r="BE6">
        <v>13.2</v>
      </c>
      <c r="BF6">
        <v>9.1</v>
      </c>
      <c r="BG6">
        <v>13.6</v>
      </c>
      <c r="BH6" s="121">
        <f t="shared" si="13"/>
        <v>12.4</v>
      </c>
    </row>
    <row r="7" spans="1:60">
      <c r="A7" s="14" t="s">
        <v>572</v>
      </c>
      <c r="B7" s="14" t="s">
        <v>182</v>
      </c>
      <c r="C7" s="101" t="s">
        <v>265</v>
      </c>
      <c r="D7" s="101">
        <v>4</v>
      </c>
      <c r="E7" s="16">
        <v>0.54444444444444495</v>
      </c>
      <c r="F7" s="16">
        <v>0.5747916666666667</v>
      </c>
      <c r="G7" s="16">
        <v>0.62224537037037042</v>
      </c>
      <c r="H7" s="17">
        <f t="shared" si="0"/>
        <v>3.0347222222221748E-2</v>
      </c>
      <c r="I7" s="17">
        <f t="shared" si="1"/>
        <v>1.1967592592592058E-2</v>
      </c>
      <c r="J7" s="17">
        <f t="shared" si="2"/>
        <v>7.7800925925925468E-2</v>
      </c>
      <c r="K7" s="18">
        <v>8.3333333333333329E-2</v>
      </c>
      <c r="L7" s="16">
        <v>0.27083333333333331</v>
      </c>
      <c r="M7" s="16">
        <v>0.29812499999999997</v>
      </c>
      <c r="N7" s="16">
        <v>0.42490740740740746</v>
      </c>
      <c r="O7" s="17">
        <f t="shared" si="3"/>
        <v>2.7291666666666659E-2</v>
      </c>
      <c r="P7" s="17">
        <f t="shared" si="4"/>
        <v>8.9467592592592515E-3</v>
      </c>
      <c r="Q7" s="17">
        <f t="shared" si="5"/>
        <v>0.15407407407407414</v>
      </c>
      <c r="R7" s="18">
        <v>0.16666666666666666</v>
      </c>
      <c r="S7" s="19">
        <f t="shared" si="14"/>
        <v>6.4</v>
      </c>
      <c r="T7" s="19">
        <f t="shared" si="6"/>
        <v>8.6</v>
      </c>
      <c r="U7" s="19">
        <f t="shared" si="15"/>
        <v>5</v>
      </c>
      <c r="V7" s="19">
        <f t="shared" si="16"/>
        <v>5</v>
      </c>
      <c r="W7" s="37">
        <v>9.1</v>
      </c>
      <c r="X7" s="37">
        <v>7.5</v>
      </c>
      <c r="Y7" s="37">
        <v>3.3</v>
      </c>
      <c r="Z7" s="37">
        <v>0</v>
      </c>
      <c r="AA7" s="37">
        <v>1.6</v>
      </c>
      <c r="AB7" s="37">
        <v>5</v>
      </c>
      <c r="AC7" s="37">
        <v>3.2</v>
      </c>
      <c r="AD7" s="37">
        <v>1.6</v>
      </c>
      <c r="AE7" s="37">
        <v>4.4000000000000004</v>
      </c>
      <c r="AF7" s="37">
        <v>2.2000000000000002</v>
      </c>
      <c r="AG7" s="37">
        <v>3</v>
      </c>
      <c r="AH7" s="37">
        <v>4.5</v>
      </c>
      <c r="AI7" s="19">
        <f t="shared" si="7"/>
        <v>70.400000000000006</v>
      </c>
      <c r="AJ7" s="33">
        <f t="shared" si="8"/>
        <v>4</v>
      </c>
      <c r="AL7">
        <f t="shared" si="9"/>
        <v>6</v>
      </c>
      <c r="AM7">
        <v>2</v>
      </c>
      <c r="AN7">
        <v>3</v>
      </c>
      <c r="AO7">
        <v>13.9</v>
      </c>
      <c r="AP7">
        <v>14.3</v>
      </c>
      <c r="AQ7">
        <v>14.5</v>
      </c>
      <c r="AR7">
        <v>13.8</v>
      </c>
      <c r="AS7" s="121">
        <f t="shared" si="10"/>
        <v>14.125</v>
      </c>
      <c r="AT7">
        <v>14.3</v>
      </c>
      <c r="AU7">
        <v>14</v>
      </c>
      <c r="AV7">
        <v>13.2</v>
      </c>
      <c r="AW7">
        <v>14.5</v>
      </c>
      <c r="AX7" s="121">
        <f t="shared" si="11"/>
        <v>14</v>
      </c>
      <c r="AY7">
        <v>13.35</v>
      </c>
      <c r="AZ7">
        <v>12.45</v>
      </c>
      <c r="BA7">
        <v>13.05</v>
      </c>
      <c r="BB7">
        <v>12.25</v>
      </c>
      <c r="BC7" s="121">
        <f t="shared" si="12"/>
        <v>12.774999999999999</v>
      </c>
      <c r="BD7">
        <v>12.2</v>
      </c>
      <c r="BE7">
        <v>12.7</v>
      </c>
      <c r="BF7">
        <v>12.2</v>
      </c>
      <c r="BG7">
        <v>13.6</v>
      </c>
      <c r="BH7" s="121">
        <f t="shared" si="13"/>
        <v>12.674999999999999</v>
      </c>
    </row>
    <row r="8" spans="1:60">
      <c r="A8" s="14" t="s">
        <v>573</v>
      </c>
      <c r="B8" s="14" t="s">
        <v>15</v>
      </c>
      <c r="C8" s="101" t="s">
        <v>266</v>
      </c>
      <c r="D8" s="101">
        <v>4</v>
      </c>
      <c r="E8" s="16">
        <v>0.54513888888888895</v>
      </c>
      <c r="F8" s="16">
        <v>0.5704745370370371</v>
      </c>
      <c r="G8" s="16">
        <v>0.62004629629629626</v>
      </c>
      <c r="H8" s="17">
        <f t="shared" si="0"/>
        <v>2.5335648148148149E-2</v>
      </c>
      <c r="I8" s="17">
        <f t="shared" si="1"/>
        <v>6.9560185185184586E-3</v>
      </c>
      <c r="J8" s="17">
        <f t="shared" si="2"/>
        <v>7.4907407407407312E-2</v>
      </c>
      <c r="K8" s="18">
        <v>8.3333333333333329E-2</v>
      </c>
      <c r="L8" s="16">
        <v>0.26874999999999999</v>
      </c>
      <c r="M8" s="16">
        <v>0.29218749999999999</v>
      </c>
      <c r="N8" s="16">
        <v>0.42214120370370373</v>
      </c>
      <c r="O8" s="17">
        <f t="shared" si="3"/>
        <v>2.34375E-2</v>
      </c>
      <c r="P8" s="17">
        <f t="shared" si="4"/>
        <v>5.092592592592593E-3</v>
      </c>
      <c r="Q8" s="17">
        <f t="shared" si="5"/>
        <v>0.15339120370370374</v>
      </c>
      <c r="R8" s="18">
        <v>0.16666666666666666</v>
      </c>
      <c r="S8" s="19">
        <f t="shared" si="14"/>
        <v>10</v>
      </c>
      <c r="T8" s="19">
        <f t="shared" si="6"/>
        <v>11.3</v>
      </c>
      <c r="U8" s="19">
        <f t="shared" si="15"/>
        <v>5</v>
      </c>
      <c r="V8" s="19">
        <f t="shared" si="16"/>
        <v>5</v>
      </c>
      <c r="W8" s="37">
        <v>10</v>
      </c>
      <c r="X8" s="37">
        <v>8</v>
      </c>
      <c r="Y8" s="37">
        <v>4</v>
      </c>
      <c r="Z8" s="37">
        <v>3.5</v>
      </c>
      <c r="AA8" s="37">
        <v>1.9</v>
      </c>
      <c r="AB8" s="37">
        <v>5</v>
      </c>
      <c r="AC8" s="37">
        <v>3.8</v>
      </c>
      <c r="AD8" s="37">
        <v>1.8</v>
      </c>
      <c r="AE8" s="37">
        <v>5.5</v>
      </c>
      <c r="AF8" s="37">
        <v>3.5</v>
      </c>
      <c r="AG8" s="37">
        <v>3</v>
      </c>
      <c r="AH8" s="37">
        <v>5</v>
      </c>
      <c r="AI8" s="19">
        <f t="shared" si="7"/>
        <v>86.3</v>
      </c>
      <c r="AJ8" s="33">
        <f t="shared" si="8"/>
        <v>3</v>
      </c>
      <c r="AL8">
        <f t="shared" si="9"/>
        <v>3</v>
      </c>
      <c r="AM8">
        <v>2</v>
      </c>
      <c r="AN8">
        <v>3</v>
      </c>
      <c r="AO8">
        <v>13.5</v>
      </c>
      <c r="AP8">
        <v>15.1</v>
      </c>
      <c r="AQ8">
        <v>11</v>
      </c>
      <c r="AR8">
        <v>9.6</v>
      </c>
      <c r="AS8" s="121">
        <f t="shared" si="10"/>
        <v>12.3</v>
      </c>
      <c r="AT8">
        <v>10.8</v>
      </c>
      <c r="AU8">
        <v>15.1</v>
      </c>
      <c r="AV8">
        <v>9.6</v>
      </c>
      <c r="AW8">
        <v>13.5</v>
      </c>
      <c r="AX8" s="121">
        <f t="shared" si="11"/>
        <v>12.25</v>
      </c>
      <c r="AY8">
        <v>13.75</v>
      </c>
      <c r="AZ8">
        <v>9.9499999999999993</v>
      </c>
      <c r="BA8">
        <v>10.65</v>
      </c>
      <c r="BB8">
        <v>13.15</v>
      </c>
      <c r="BC8" s="121">
        <f t="shared" si="12"/>
        <v>11.875</v>
      </c>
      <c r="BD8">
        <v>13.6</v>
      </c>
      <c r="BE8">
        <v>10</v>
      </c>
      <c r="BF8">
        <v>10.6</v>
      </c>
      <c r="BG8">
        <v>13.2</v>
      </c>
      <c r="BH8" s="121">
        <f t="shared" si="13"/>
        <v>11.850000000000001</v>
      </c>
    </row>
    <row r="9" spans="1:60" ht="14.25" thickBot="1">
      <c r="A9" s="52" t="s">
        <v>574</v>
      </c>
      <c r="B9" s="52" t="s">
        <v>590</v>
      </c>
      <c r="C9" s="108" t="s">
        <v>267</v>
      </c>
      <c r="D9" s="108">
        <v>4</v>
      </c>
      <c r="E9" s="54">
        <v>0.54583333333333395</v>
      </c>
      <c r="F9" s="54">
        <v>0.57318287037037041</v>
      </c>
      <c r="G9" s="54">
        <v>0.61958333333333326</v>
      </c>
      <c r="H9" s="55">
        <f t="shared" si="0"/>
        <v>2.7349537037036464E-2</v>
      </c>
      <c r="I9" s="55">
        <f t="shared" si="1"/>
        <v>8.9699074074067742E-3</v>
      </c>
      <c r="J9" s="55">
        <f t="shared" si="2"/>
        <v>7.3749999999999316E-2</v>
      </c>
      <c r="K9" s="56">
        <v>8.3333333333333329E-2</v>
      </c>
      <c r="L9" s="54">
        <v>0.26944444444444443</v>
      </c>
      <c r="M9" s="54">
        <v>0.2966435185185185</v>
      </c>
      <c r="N9" s="54">
        <v>0.38868055555555553</v>
      </c>
      <c r="O9" s="55">
        <f t="shared" si="3"/>
        <v>2.719907407407407E-2</v>
      </c>
      <c r="P9" s="55">
        <f t="shared" si="4"/>
        <v>8.854166666666663E-3</v>
      </c>
      <c r="Q9" s="55">
        <f t="shared" si="5"/>
        <v>0.1192361111111111</v>
      </c>
      <c r="R9" s="56">
        <v>0.16666666666666666</v>
      </c>
      <c r="S9" s="57">
        <f t="shared" si="14"/>
        <v>8.5</v>
      </c>
      <c r="T9" s="57">
        <f t="shared" si="6"/>
        <v>8.6</v>
      </c>
      <c r="U9" s="57">
        <f t="shared" si="15"/>
        <v>5</v>
      </c>
      <c r="V9" s="57">
        <f t="shared" si="16"/>
        <v>5</v>
      </c>
      <c r="W9" s="58">
        <v>3.6</v>
      </c>
      <c r="X9" s="58">
        <v>5.3</v>
      </c>
      <c r="Y9" s="58">
        <v>2.5</v>
      </c>
      <c r="Z9" s="58">
        <v>0.3</v>
      </c>
      <c r="AA9" s="58">
        <v>1.6</v>
      </c>
      <c r="AB9" s="58">
        <v>1</v>
      </c>
      <c r="AC9" s="58">
        <v>2.2000000000000002</v>
      </c>
      <c r="AD9" s="58">
        <v>1.2</v>
      </c>
      <c r="AE9" s="58">
        <v>5.6</v>
      </c>
      <c r="AF9" s="58">
        <v>1.3</v>
      </c>
      <c r="AG9" s="58">
        <v>1.5</v>
      </c>
      <c r="AH9" s="58">
        <v>5</v>
      </c>
      <c r="AI9" s="57">
        <f t="shared" si="7"/>
        <v>58.2</v>
      </c>
      <c r="AJ9" s="59">
        <f t="shared" si="8"/>
        <v>7</v>
      </c>
      <c r="AL9">
        <f t="shared" si="9"/>
        <v>4</v>
      </c>
      <c r="AM9">
        <v>0</v>
      </c>
      <c r="AN9">
        <v>1</v>
      </c>
      <c r="AO9">
        <v>15.3</v>
      </c>
      <c r="AP9">
        <v>15.7</v>
      </c>
      <c r="AQ9">
        <v>13.4</v>
      </c>
      <c r="AR9">
        <v>11.7</v>
      </c>
      <c r="AS9" s="121">
        <f t="shared" si="10"/>
        <v>14.024999999999999</v>
      </c>
      <c r="AT9">
        <v>15.2</v>
      </c>
      <c r="AU9">
        <v>15.8</v>
      </c>
      <c r="AV9">
        <v>13.5</v>
      </c>
      <c r="AW9">
        <v>11.6</v>
      </c>
      <c r="AX9" s="121">
        <f t="shared" si="11"/>
        <v>14.025</v>
      </c>
      <c r="AY9">
        <v>15.2</v>
      </c>
      <c r="AZ9">
        <v>13.9</v>
      </c>
      <c r="BA9">
        <v>12</v>
      </c>
      <c r="BB9">
        <v>10.4</v>
      </c>
      <c r="BC9" s="121">
        <f t="shared" si="12"/>
        <v>12.875</v>
      </c>
      <c r="BD9">
        <v>10.1</v>
      </c>
      <c r="BE9">
        <v>13.9</v>
      </c>
      <c r="BF9">
        <v>15.1</v>
      </c>
      <c r="BG9">
        <v>12</v>
      </c>
      <c r="BH9" s="121">
        <f t="shared" si="13"/>
        <v>12.775</v>
      </c>
    </row>
    <row r="10" spans="1:60" ht="14.25" thickTop="1">
      <c r="A10" s="44" t="s">
        <v>575</v>
      </c>
      <c r="B10" s="44" t="s">
        <v>576</v>
      </c>
      <c r="C10" s="107" t="s">
        <v>269</v>
      </c>
      <c r="D10" s="107">
        <v>3</v>
      </c>
      <c r="E10" s="46">
        <v>0.54652777777777894</v>
      </c>
      <c r="F10" s="46">
        <v>0.56853009259259257</v>
      </c>
      <c r="G10" s="46">
        <v>0.62896990740740744</v>
      </c>
      <c r="H10" s="47">
        <f t="shared" si="0"/>
        <v>2.2002314814813628E-2</v>
      </c>
      <c r="I10" s="47">
        <f t="shared" si="1"/>
        <v>3.6226851851839381E-3</v>
      </c>
      <c r="J10" s="47">
        <f t="shared" si="2"/>
        <v>8.2442129629628491E-2</v>
      </c>
      <c r="K10" s="48">
        <v>8.3333333333333329E-2</v>
      </c>
      <c r="L10" s="46">
        <v>0.2722222222222222</v>
      </c>
      <c r="M10" s="46">
        <v>0.29351851851851851</v>
      </c>
      <c r="N10" s="46">
        <v>0.41187499999999999</v>
      </c>
      <c r="O10" s="47">
        <f t="shared" si="3"/>
        <v>2.1296296296296313E-2</v>
      </c>
      <c r="P10" s="47">
        <f t="shared" si="4"/>
        <v>2.9513888888889062E-3</v>
      </c>
      <c r="Q10" s="47">
        <f t="shared" si="5"/>
        <v>0.13965277777777779</v>
      </c>
      <c r="R10" s="48">
        <v>0.16666666666666666</v>
      </c>
      <c r="S10" s="49">
        <f t="shared" si="14"/>
        <v>12.4</v>
      </c>
      <c r="T10" s="49">
        <f t="shared" si="6"/>
        <v>12.9</v>
      </c>
      <c r="U10" s="49">
        <f t="shared" si="15"/>
        <v>5</v>
      </c>
      <c r="V10" s="49">
        <f t="shared" si="16"/>
        <v>5</v>
      </c>
      <c r="W10" s="50">
        <v>10</v>
      </c>
      <c r="X10" s="50">
        <v>6.3</v>
      </c>
      <c r="Y10" s="50">
        <v>4</v>
      </c>
      <c r="Z10" s="50">
        <v>5</v>
      </c>
      <c r="AA10" s="50">
        <v>2</v>
      </c>
      <c r="AB10" s="50">
        <v>5.5</v>
      </c>
      <c r="AC10" s="50">
        <v>3</v>
      </c>
      <c r="AD10" s="50">
        <v>1.4</v>
      </c>
      <c r="AE10" s="50">
        <v>6</v>
      </c>
      <c r="AF10" s="50">
        <v>2.5</v>
      </c>
      <c r="AG10" s="50">
        <v>3</v>
      </c>
      <c r="AH10" s="50">
        <v>5</v>
      </c>
      <c r="AI10" s="49">
        <f t="shared" si="7"/>
        <v>89</v>
      </c>
      <c r="AJ10" s="51">
        <f t="shared" ref="AJ10:AJ16" si="17">RANK(AI10,$AI$10:$AI$16)</f>
        <v>1</v>
      </c>
      <c r="AL10">
        <f t="shared" ref="AL10:AL16" si="18">RANK(I10,$I$10:$I$16,1)</f>
        <v>1</v>
      </c>
      <c r="AM10">
        <v>2</v>
      </c>
      <c r="AN10">
        <v>3.5</v>
      </c>
      <c r="AO10" s="81">
        <v>12.2</v>
      </c>
      <c r="AP10" s="81">
        <v>13.7</v>
      </c>
      <c r="AQ10" s="81">
        <v>12.5</v>
      </c>
      <c r="AS10" s="121">
        <f t="shared" si="10"/>
        <v>12.799999999999999</v>
      </c>
      <c r="AT10" s="81">
        <v>13.8</v>
      </c>
      <c r="AU10" s="81">
        <v>12.2</v>
      </c>
      <c r="AV10" s="81">
        <v>12.5</v>
      </c>
      <c r="AX10" s="121">
        <f t="shared" si="11"/>
        <v>12.833333333333334</v>
      </c>
      <c r="AY10" s="81">
        <v>13.9</v>
      </c>
      <c r="AZ10" s="81">
        <v>13</v>
      </c>
      <c r="BA10" s="81">
        <v>11</v>
      </c>
      <c r="BC10" s="121">
        <f t="shared" si="12"/>
        <v>12.633333333333333</v>
      </c>
      <c r="BD10" s="81">
        <v>13</v>
      </c>
      <c r="BE10" s="81">
        <v>13.8</v>
      </c>
      <c r="BF10" s="81">
        <v>11</v>
      </c>
      <c r="BH10" s="121">
        <f t="shared" si="13"/>
        <v>12.6</v>
      </c>
    </row>
    <row r="11" spans="1:60">
      <c r="A11" s="14" t="s">
        <v>577</v>
      </c>
      <c r="B11" s="14" t="s">
        <v>230</v>
      </c>
      <c r="C11" s="101" t="s">
        <v>270</v>
      </c>
      <c r="D11" s="101">
        <v>4</v>
      </c>
      <c r="E11" s="16">
        <v>0.54722222222222305</v>
      </c>
      <c r="F11" s="16">
        <v>0.57180555555555557</v>
      </c>
      <c r="G11" s="16">
        <v>0.61771990740740745</v>
      </c>
      <c r="H11" s="17">
        <f t="shared" si="0"/>
        <v>2.4583333333332513E-2</v>
      </c>
      <c r="I11" s="17">
        <f t="shared" si="1"/>
        <v>6.2037037037028231E-3</v>
      </c>
      <c r="J11" s="17">
        <f t="shared" si="2"/>
        <v>7.04976851851844E-2</v>
      </c>
      <c r="K11" s="18">
        <v>8.3333333333333329E-2</v>
      </c>
      <c r="L11" s="16">
        <v>0.27291666666666664</v>
      </c>
      <c r="M11" s="16">
        <v>0.2977083333333333</v>
      </c>
      <c r="N11" s="16">
        <v>0.41667824074074072</v>
      </c>
      <c r="O11" s="17">
        <f t="shared" si="3"/>
        <v>2.4791666666666656E-2</v>
      </c>
      <c r="P11" s="17">
        <f t="shared" si="4"/>
        <v>6.4467592592592493E-3</v>
      </c>
      <c r="Q11" s="17">
        <f t="shared" si="5"/>
        <v>0.14376157407407408</v>
      </c>
      <c r="R11" s="18">
        <v>0.16666666666666666</v>
      </c>
      <c r="S11" s="19">
        <f t="shared" si="14"/>
        <v>10.5</v>
      </c>
      <c r="T11" s="19">
        <f t="shared" si="6"/>
        <v>10.4</v>
      </c>
      <c r="U11" s="19">
        <f t="shared" si="15"/>
        <v>5</v>
      </c>
      <c r="V11" s="19">
        <f t="shared" si="16"/>
        <v>5</v>
      </c>
      <c r="W11" s="37">
        <v>7.2</v>
      </c>
      <c r="X11" s="37">
        <v>6.7</v>
      </c>
      <c r="Y11" s="37">
        <v>2.8</v>
      </c>
      <c r="Z11" s="37">
        <v>4.5999999999999996</v>
      </c>
      <c r="AA11" s="37">
        <v>2</v>
      </c>
      <c r="AB11" s="37">
        <v>5.5</v>
      </c>
      <c r="AC11" s="37">
        <v>3.4</v>
      </c>
      <c r="AD11" s="37">
        <v>1.6</v>
      </c>
      <c r="AE11" s="37">
        <v>5.7</v>
      </c>
      <c r="AF11" s="37">
        <v>3</v>
      </c>
      <c r="AG11" s="37">
        <v>2.5</v>
      </c>
      <c r="AH11" s="37">
        <v>5</v>
      </c>
      <c r="AI11" s="19">
        <f t="shared" si="7"/>
        <v>80.900000000000006</v>
      </c>
      <c r="AJ11" s="33">
        <f t="shared" si="17"/>
        <v>3</v>
      </c>
      <c r="AK11" s="22"/>
      <c r="AL11">
        <f t="shared" si="18"/>
        <v>2</v>
      </c>
      <c r="AM11">
        <v>2</v>
      </c>
      <c r="AN11">
        <v>3.5</v>
      </c>
      <c r="AO11" s="81">
        <v>12.6</v>
      </c>
      <c r="AP11" s="81">
        <v>12.9</v>
      </c>
      <c r="AQ11" s="81">
        <v>13.7</v>
      </c>
      <c r="AR11" s="81">
        <v>12.2</v>
      </c>
      <c r="AS11" s="121">
        <f t="shared" si="10"/>
        <v>12.850000000000001</v>
      </c>
      <c r="AT11" s="81">
        <v>12.5</v>
      </c>
      <c r="AU11" s="81">
        <v>13.7</v>
      </c>
      <c r="AV11" s="81">
        <v>12</v>
      </c>
      <c r="AW11" s="81">
        <v>12.9</v>
      </c>
      <c r="AX11" s="121">
        <f t="shared" si="11"/>
        <v>12.775</v>
      </c>
      <c r="AY11" s="81">
        <v>11.9</v>
      </c>
      <c r="AZ11" s="81">
        <v>12.65</v>
      </c>
      <c r="BA11" s="81">
        <v>12</v>
      </c>
      <c r="BB11" s="81">
        <v>11</v>
      </c>
      <c r="BC11" s="121">
        <f t="shared" si="12"/>
        <v>11.887499999999999</v>
      </c>
      <c r="BD11" s="81">
        <v>12.6</v>
      </c>
      <c r="BE11" s="81">
        <v>11.8</v>
      </c>
      <c r="BF11" s="81">
        <v>11.9</v>
      </c>
      <c r="BG11" s="81">
        <v>10.9</v>
      </c>
      <c r="BH11" s="121">
        <f t="shared" si="13"/>
        <v>11.799999999999999</v>
      </c>
    </row>
    <row r="12" spans="1:60">
      <c r="A12" s="14" t="s">
        <v>171</v>
      </c>
      <c r="B12" s="14" t="s">
        <v>182</v>
      </c>
      <c r="C12" s="101" t="s">
        <v>271</v>
      </c>
      <c r="D12" s="101">
        <v>4</v>
      </c>
      <c r="E12" s="16">
        <v>0.54791666666666805</v>
      </c>
      <c r="F12" s="16">
        <v>0.57990740740740743</v>
      </c>
      <c r="G12" s="16">
        <v>0.62738425925925922</v>
      </c>
      <c r="H12" s="17">
        <f t="shared" si="0"/>
        <v>3.1990740740739376E-2</v>
      </c>
      <c r="I12" s="17">
        <f t="shared" si="1"/>
        <v>1.3611111111109686E-2</v>
      </c>
      <c r="J12" s="17">
        <f t="shared" si="2"/>
        <v>7.9467592592591174E-2</v>
      </c>
      <c r="K12" s="18">
        <v>8.3333333333333329E-2</v>
      </c>
      <c r="L12" s="16">
        <v>0.27638888888888885</v>
      </c>
      <c r="M12" s="16">
        <v>0.30439814814814814</v>
      </c>
      <c r="N12" s="16">
        <v>0.39493055555555556</v>
      </c>
      <c r="O12" s="17">
        <f t="shared" si="3"/>
        <v>2.8009259259259289E-2</v>
      </c>
      <c r="P12" s="17">
        <f t="shared" si="4"/>
        <v>9.6643518518518823E-3</v>
      </c>
      <c r="Q12" s="17">
        <f t="shared" si="5"/>
        <v>0.11854166666666671</v>
      </c>
      <c r="R12" s="18">
        <v>0.16666666666666666</v>
      </c>
      <c r="S12" s="19">
        <f t="shared" si="14"/>
        <v>5.2</v>
      </c>
      <c r="T12" s="19">
        <f t="shared" si="6"/>
        <v>8</v>
      </c>
      <c r="U12" s="19">
        <f t="shared" si="15"/>
        <v>5</v>
      </c>
      <c r="V12" s="19">
        <f t="shared" si="16"/>
        <v>5</v>
      </c>
      <c r="W12" s="37">
        <v>9.5</v>
      </c>
      <c r="X12" s="37">
        <v>7.1</v>
      </c>
      <c r="Y12" s="37">
        <v>4</v>
      </c>
      <c r="Z12" s="37">
        <v>0.6</v>
      </c>
      <c r="AA12" s="37">
        <v>1.6</v>
      </c>
      <c r="AB12" s="37">
        <v>0</v>
      </c>
      <c r="AC12" s="37">
        <v>2.4</v>
      </c>
      <c r="AD12" s="37">
        <v>1.4</v>
      </c>
      <c r="AE12" s="37">
        <v>5</v>
      </c>
      <c r="AF12" s="37">
        <v>1.4</v>
      </c>
      <c r="AG12" s="37">
        <v>1.5</v>
      </c>
      <c r="AH12" s="37">
        <v>5</v>
      </c>
      <c r="AI12" s="19">
        <f t="shared" si="7"/>
        <v>62.7</v>
      </c>
      <c r="AJ12" s="33">
        <f t="shared" si="17"/>
        <v>7</v>
      </c>
      <c r="AK12" s="22"/>
      <c r="AL12">
        <f t="shared" si="18"/>
        <v>7</v>
      </c>
      <c r="AM12">
        <v>0</v>
      </c>
      <c r="AN12">
        <v>0</v>
      </c>
      <c r="AO12" s="81">
        <v>15.9</v>
      </c>
      <c r="AP12" s="81">
        <v>11.9</v>
      </c>
      <c r="AQ12" s="81">
        <v>15.6</v>
      </c>
      <c r="AR12" s="81">
        <v>13.4</v>
      </c>
      <c r="AS12" s="121">
        <f t="shared" si="10"/>
        <v>14.2</v>
      </c>
      <c r="AT12" s="81">
        <v>15.9</v>
      </c>
      <c r="AU12" s="81">
        <v>12.1</v>
      </c>
      <c r="AV12" s="81">
        <v>15.8</v>
      </c>
      <c r="AW12" s="81">
        <v>13.3</v>
      </c>
      <c r="AX12" s="121">
        <f t="shared" si="11"/>
        <v>14.274999999999999</v>
      </c>
      <c r="AY12" s="81">
        <v>12.45</v>
      </c>
      <c r="AZ12" s="81">
        <v>10.75</v>
      </c>
      <c r="BA12" s="81">
        <v>14.5</v>
      </c>
      <c r="BB12" s="81">
        <v>13.25</v>
      </c>
      <c r="BC12" s="121">
        <f t="shared" si="12"/>
        <v>12.737500000000001</v>
      </c>
      <c r="BD12" s="81">
        <v>12.4</v>
      </c>
      <c r="BE12" s="81">
        <v>10.7</v>
      </c>
      <c r="BF12" s="81">
        <v>13.2</v>
      </c>
      <c r="BG12" s="81">
        <v>14.8</v>
      </c>
      <c r="BH12" s="121">
        <f t="shared" si="13"/>
        <v>12.774999999999999</v>
      </c>
    </row>
    <row r="13" spans="1:60">
      <c r="A13" s="14" t="s">
        <v>171</v>
      </c>
      <c r="B13" s="14" t="s">
        <v>208</v>
      </c>
      <c r="C13" s="101" t="s">
        <v>272</v>
      </c>
      <c r="D13" s="101">
        <v>4</v>
      </c>
      <c r="E13" s="16">
        <v>0.54861111111111205</v>
      </c>
      <c r="F13" s="16">
        <v>0.57450231481481484</v>
      </c>
      <c r="G13" s="16">
        <v>0.62741898148148145</v>
      </c>
      <c r="H13" s="17">
        <f t="shared" si="0"/>
        <v>2.5891203703702792E-2</v>
      </c>
      <c r="I13" s="17">
        <f t="shared" si="1"/>
        <v>7.5115740740731018E-3</v>
      </c>
      <c r="J13" s="17">
        <f t="shared" si="2"/>
        <v>7.8807870370369404E-2</v>
      </c>
      <c r="K13" s="18">
        <v>8.3333333333333329E-2</v>
      </c>
      <c r="L13" s="16">
        <v>0.27430555555555552</v>
      </c>
      <c r="M13" s="16">
        <v>0.2986111111111111</v>
      </c>
      <c r="N13" s="16">
        <v>0.42525462962962962</v>
      </c>
      <c r="O13" s="17">
        <f t="shared" si="3"/>
        <v>2.430555555555558E-2</v>
      </c>
      <c r="P13" s="17">
        <f t="shared" si="4"/>
        <v>5.9606481481481732E-3</v>
      </c>
      <c r="Q13" s="17">
        <f t="shared" si="5"/>
        <v>0.1509490740740741</v>
      </c>
      <c r="R13" s="18">
        <v>0.16666666666666666</v>
      </c>
      <c r="S13" s="19">
        <f t="shared" si="14"/>
        <v>9.6</v>
      </c>
      <c r="T13" s="19">
        <f t="shared" si="6"/>
        <v>10.7</v>
      </c>
      <c r="U13" s="19">
        <f t="shared" si="15"/>
        <v>5</v>
      </c>
      <c r="V13" s="19">
        <f t="shared" si="16"/>
        <v>5</v>
      </c>
      <c r="W13" s="37">
        <v>7.2</v>
      </c>
      <c r="X13" s="37">
        <v>7.9</v>
      </c>
      <c r="Y13" s="37">
        <v>2.2000000000000002</v>
      </c>
      <c r="Z13" s="37">
        <v>1</v>
      </c>
      <c r="AA13" s="37">
        <v>1.4</v>
      </c>
      <c r="AB13" s="37">
        <v>6.5</v>
      </c>
      <c r="AC13" s="37">
        <v>3.6</v>
      </c>
      <c r="AD13" s="37">
        <v>1.4</v>
      </c>
      <c r="AE13" s="37">
        <v>4.9000000000000004</v>
      </c>
      <c r="AF13" s="37">
        <v>3</v>
      </c>
      <c r="AG13" s="37">
        <v>2.5</v>
      </c>
      <c r="AH13" s="37">
        <v>5</v>
      </c>
      <c r="AI13" s="19">
        <f t="shared" si="7"/>
        <v>76.900000000000006</v>
      </c>
      <c r="AJ13" s="33">
        <f t="shared" si="17"/>
        <v>4</v>
      </c>
      <c r="AK13" s="22"/>
      <c r="AL13">
        <f t="shared" si="18"/>
        <v>4</v>
      </c>
      <c r="AM13">
        <v>2</v>
      </c>
      <c r="AN13">
        <v>4.5</v>
      </c>
      <c r="AO13" s="81">
        <v>13.6</v>
      </c>
      <c r="AP13" s="81">
        <v>13.2</v>
      </c>
      <c r="AQ13" s="81">
        <v>12.1</v>
      </c>
      <c r="AR13" s="81">
        <v>11.1</v>
      </c>
      <c r="AS13" s="121">
        <f t="shared" si="10"/>
        <v>12.5</v>
      </c>
      <c r="AT13" s="81">
        <v>13.8</v>
      </c>
      <c r="AU13" s="81">
        <v>11.1</v>
      </c>
      <c r="AV13" s="81">
        <v>13.3</v>
      </c>
      <c r="AW13" s="81">
        <v>12.4</v>
      </c>
      <c r="AX13" s="121">
        <f t="shared" si="11"/>
        <v>12.65</v>
      </c>
      <c r="AY13" s="81">
        <v>12.6</v>
      </c>
      <c r="AZ13" s="81">
        <v>11.4</v>
      </c>
      <c r="BA13" s="81">
        <v>11.05</v>
      </c>
      <c r="BB13" s="81">
        <v>9.3000000000000007</v>
      </c>
      <c r="BC13" s="121">
        <f t="shared" si="12"/>
        <v>11.087499999999999</v>
      </c>
      <c r="BD13" s="81">
        <v>12.5</v>
      </c>
      <c r="BE13" s="81">
        <v>11</v>
      </c>
      <c r="BF13" s="81">
        <v>9.1999999999999993</v>
      </c>
      <c r="BG13" s="81">
        <v>11.4</v>
      </c>
      <c r="BH13" s="121">
        <f t="shared" si="13"/>
        <v>11.025</v>
      </c>
    </row>
    <row r="14" spans="1:60">
      <c r="A14" s="14" t="s">
        <v>577</v>
      </c>
      <c r="B14" s="14" t="s">
        <v>221</v>
      </c>
      <c r="C14" s="101" t="s">
        <v>273</v>
      </c>
      <c r="D14" s="101">
        <v>3</v>
      </c>
      <c r="E14" s="16">
        <v>0.54930555555555705</v>
      </c>
      <c r="F14" s="16">
        <v>0.57454861111111111</v>
      </c>
      <c r="G14" s="16">
        <v>0.62962962962962965</v>
      </c>
      <c r="H14" s="17">
        <f t="shared" si="0"/>
        <v>2.5243055555554061E-2</v>
      </c>
      <c r="I14" s="17">
        <f t="shared" si="1"/>
        <v>6.8634259259243713E-3</v>
      </c>
      <c r="J14" s="17">
        <f t="shared" si="2"/>
        <v>8.0324074074072604E-2</v>
      </c>
      <c r="K14" s="18">
        <v>8.3333333333333329E-2</v>
      </c>
      <c r="L14" s="16">
        <v>0.27361111111111108</v>
      </c>
      <c r="M14" s="16">
        <v>0.29837962962962966</v>
      </c>
      <c r="N14" s="16">
        <v>0.43032407407407408</v>
      </c>
      <c r="O14" s="17">
        <f t="shared" si="3"/>
        <v>2.4768518518518579E-2</v>
      </c>
      <c r="P14" s="17">
        <f t="shared" si="4"/>
        <v>6.4236111111111716E-3</v>
      </c>
      <c r="Q14" s="17">
        <f t="shared" si="5"/>
        <v>0.156712962962963</v>
      </c>
      <c r="R14" s="18">
        <v>0.16666666666666666</v>
      </c>
      <c r="S14" s="19">
        <f t="shared" si="14"/>
        <v>10.1</v>
      </c>
      <c r="T14" s="19">
        <f t="shared" si="6"/>
        <v>10.4</v>
      </c>
      <c r="U14" s="19">
        <f t="shared" si="15"/>
        <v>5</v>
      </c>
      <c r="V14" s="19">
        <f t="shared" si="16"/>
        <v>5</v>
      </c>
      <c r="W14" s="37">
        <v>9.8000000000000007</v>
      </c>
      <c r="X14" s="37">
        <v>7</v>
      </c>
      <c r="Y14" s="37">
        <v>4</v>
      </c>
      <c r="Z14" s="37">
        <v>2.2999999999999998</v>
      </c>
      <c r="AA14" s="37">
        <v>1.7</v>
      </c>
      <c r="AB14" s="37">
        <v>6</v>
      </c>
      <c r="AC14" s="37">
        <v>3.6</v>
      </c>
      <c r="AD14" s="37">
        <v>1.4</v>
      </c>
      <c r="AE14" s="37">
        <v>5.7</v>
      </c>
      <c r="AF14" s="37">
        <v>3.2</v>
      </c>
      <c r="AG14" s="37">
        <v>3</v>
      </c>
      <c r="AH14" s="37">
        <v>5</v>
      </c>
      <c r="AI14" s="19">
        <f t="shared" si="7"/>
        <v>83.2</v>
      </c>
      <c r="AJ14" s="33">
        <f t="shared" si="17"/>
        <v>2</v>
      </c>
      <c r="AK14" s="22"/>
      <c r="AL14">
        <f t="shared" si="18"/>
        <v>3</v>
      </c>
      <c r="AM14">
        <v>1</v>
      </c>
      <c r="AN14">
        <v>5</v>
      </c>
      <c r="AO14" s="81">
        <v>15</v>
      </c>
      <c r="AP14" s="81">
        <v>9.5</v>
      </c>
      <c r="AQ14" s="81">
        <v>13.2</v>
      </c>
      <c r="AS14" s="121">
        <f t="shared" si="10"/>
        <v>12.566666666666668</v>
      </c>
      <c r="AT14" s="81">
        <v>14.9</v>
      </c>
      <c r="AU14" s="81">
        <v>9.6</v>
      </c>
      <c r="AV14" s="81">
        <v>13.1</v>
      </c>
      <c r="AX14" s="121">
        <f t="shared" si="11"/>
        <v>12.533333333333333</v>
      </c>
      <c r="AY14" s="81">
        <v>14.05</v>
      </c>
      <c r="AZ14" s="81">
        <v>10.050000000000001</v>
      </c>
      <c r="BA14" s="81">
        <v>12.9</v>
      </c>
      <c r="BC14" s="121">
        <f t="shared" si="12"/>
        <v>12.333333333333334</v>
      </c>
      <c r="BD14" s="81">
        <v>13.4</v>
      </c>
      <c r="BE14" s="81">
        <v>9.8000000000000007</v>
      </c>
      <c r="BF14" s="81">
        <v>12.5</v>
      </c>
      <c r="BH14" s="121">
        <f t="shared" si="13"/>
        <v>11.9</v>
      </c>
    </row>
    <row r="15" spans="1:60">
      <c r="A15" s="14" t="s">
        <v>577</v>
      </c>
      <c r="B15" s="14" t="s">
        <v>210</v>
      </c>
      <c r="C15" s="101" t="s">
        <v>274</v>
      </c>
      <c r="D15" s="101">
        <v>4</v>
      </c>
      <c r="E15" s="16">
        <v>0.55000000000000104</v>
      </c>
      <c r="F15" s="16">
        <v>0.5785069444444445</v>
      </c>
      <c r="G15" s="16">
        <v>0.63063657407407414</v>
      </c>
      <c r="H15" s="17">
        <f t="shared" si="0"/>
        <v>2.8506944444443461E-2</v>
      </c>
      <c r="I15" s="17">
        <f t="shared" si="1"/>
        <v>1.012731481481377E-2</v>
      </c>
      <c r="J15" s="17">
        <f t="shared" si="2"/>
        <v>8.0636574074073097E-2</v>
      </c>
      <c r="K15" s="18">
        <v>8.3333333333333329E-2</v>
      </c>
      <c r="L15" s="16">
        <v>0.27500000000000002</v>
      </c>
      <c r="M15" s="16">
        <v>0.30057870370370371</v>
      </c>
      <c r="N15" s="16">
        <v>0.41607638888888893</v>
      </c>
      <c r="O15" s="17">
        <f t="shared" si="3"/>
        <v>2.5578703703703687E-2</v>
      </c>
      <c r="P15" s="17">
        <f t="shared" si="4"/>
        <v>7.2337962962962798E-3</v>
      </c>
      <c r="Q15" s="17">
        <f t="shared" si="5"/>
        <v>0.1410763888888889</v>
      </c>
      <c r="R15" s="18">
        <v>0.16666666666666666</v>
      </c>
      <c r="S15" s="19">
        <f t="shared" si="14"/>
        <v>7.7</v>
      </c>
      <c r="T15" s="19">
        <f t="shared" si="6"/>
        <v>9.8000000000000007</v>
      </c>
      <c r="U15" s="19">
        <f t="shared" si="15"/>
        <v>5</v>
      </c>
      <c r="V15" s="19">
        <f t="shared" si="16"/>
        <v>5</v>
      </c>
      <c r="W15" s="37">
        <v>7.5</v>
      </c>
      <c r="X15" s="37">
        <v>7.2</v>
      </c>
      <c r="Y15" s="37">
        <v>3.2</v>
      </c>
      <c r="Z15" s="37">
        <v>1</v>
      </c>
      <c r="AA15" s="37">
        <v>1.8</v>
      </c>
      <c r="AB15" s="37">
        <v>5</v>
      </c>
      <c r="AC15" s="37">
        <v>2.8</v>
      </c>
      <c r="AD15" s="37">
        <v>1.2</v>
      </c>
      <c r="AE15" s="37">
        <v>4.0999999999999996</v>
      </c>
      <c r="AF15" s="37">
        <v>1</v>
      </c>
      <c r="AG15" s="37">
        <v>2.5</v>
      </c>
      <c r="AH15" s="37">
        <v>4.3</v>
      </c>
      <c r="AI15" s="19">
        <f t="shared" si="7"/>
        <v>69.100000000000009</v>
      </c>
      <c r="AJ15" s="33">
        <f t="shared" si="17"/>
        <v>5</v>
      </c>
      <c r="AL15">
        <f t="shared" si="18"/>
        <v>5</v>
      </c>
      <c r="AM15">
        <v>1</v>
      </c>
      <c r="AN15">
        <v>4</v>
      </c>
      <c r="AO15" s="81">
        <v>13.3</v>
      </c>
      <c r="AP15" s="81">
        <v>12.1</v>
      </c>
      <c r="AQ15" s="81">
        <v>12.1</v>
      </c>
      <c r="AR15" s="81">
        <v>15.1</v>
      </c>
      <c r="AS15" s="121">
        <f t="shared" si="10"/>
        <v>13.15</v>
      </c>
      <c r="AT15" s="81">
        <v>12.8</v>
      </c>
      <c r="AU15" s="81">
        <v>11.7</v>
      </c>
      <c r="AV15" s="81">
        <v>14.6</v>
      </c>
      <c r="AW15" s="81">
        <v>11.6</v>
      </c>
      <c r="AX15" s="121">
        <f t="shared" si="11"/>
        <v>12.675000000000001</v>
      </c>
      <c r="AY15" s="81">
        <v>11.3</v>
      </c>
      <c r="AZ15" s="81">
        <v>11.7</v>
      </c>
      <c r="BA15" s="81">
        <v>13.55</v>
      </c>
      <c r="BB15" s="81">
        <v>12.75</v>
      </c>
      <c r="BC15" s="121">
        <f t="shared" si="12"/>
        <v>12.324999999999999</v>
      </c>
      <c r="BD15" s="81">
        <v>11.3</v>
      </c>
      <c r="BE15" s="81">
        <v>12.7</v>
      </c>
      <c r="BF15" s="81">
        <v>11.6</v>
      </c>
      <c r="BG15" s="81">
        <v>13.5</v>
      </c>
      <c r="BH15" s="121">
        <f t="shared" si="13"/>
        <v>12.275</v>
      </c>
    </row>
    <row r="16" spans="1:60" s="69" customFormat="1" ht="14.25" thickBot="1">
      <c r="A16" s="62" t="s">
        <v>170</v>
      </c>
      <c r="B16" s="62" t="s">
        <v>129</v>
      </c>
      <c r="C16" s="110" t="s">
        <v>275</v>
      </c>
      <c r="D16" s="110">
        <v>3</v>
      </c>
      <c r="E16" s="64">
        <v>0.55069444444444604</v>
      </c>
      <c r="F16" s="64">
        <v>0.57997685185185188</v>
      </c>
      <c r="G16" s="64">
        <v>0.62738425925925922</v>
      </c>
      <c r="H16" s="65">
        <f t="shared" si="0"/>
        <v>2.9282407407405842E-2</v>
      </c>
      <c r="I16" s="65">
        <f t="shared" si="1"/>
        <v>1.0902777777776151E-2</v>
      </c>
      <c r="J16" s="65">
        <f t="shared" si="2"/>
        <v>7.6689814814813184E-2</v>
      </c>
      <c r="K16" s="66">
        <v>8.3333333333333329E-2</v>
      </c>
      <c r="L16" s="64">
        <v>0.27569444444444446</v>
      </c>
      <c r="M16" s="64">
        <v>0.3</v>
      </c>
      <c r="N16" s="64">
        <v>0.40535879629629629</v>
      </c>
      <c r="O16" s="65">
        <f t="shared" si="3"/>
        <v>2.4305555555555525E-2</v>
      </c>
      <c r="P16" s="65">
        <f t="shared" si="4"/>
        <v>5.9606481481481177E-3</v>
      </c>
      <c r="Q16" s="65">
        <f t="shared" si="5"/>
        <v>0.12966435185185182</v>
      </c>
      <c r="R16" s="66">
        <v>0.16666666666666666</v>
      </c>
      <c r="S16" s="67">
        <f t="shared" si="14"/>
        <v>7.2</v>
      </c>
      <c r="T16" s="67">
        <f t="shared" si="6"/>
        <v>10.7</v>
      </c>
      <c r="U16" s="67">
        <f t="shared" si="15"/>
        <v>5</v>
      </c>
      <c r="V16" s="67">
        <f t="shared" si="16"/>
        <v>5</v>
      </c>
      <c r="W16" s="68">
        <v>5.8</v>
      </c>
      <c r="X16" s="68">
        <v>5.4</v>
      </c>
      <c r="Y16" s="68">
        <v>2.8</v>
      </c>
      <c r="Z16" s="68">
        <v>1.4</v>
      </c>
      <c r="AA16" s="68">
        <v>0.7</v>
      </c>
      <c r="AB16" s="68">
        <v>4</v>
      </c>
      <c r="AC16" s="68">
        <v>3.2</v>
      </c>
      <c r="AD16" s="68">
        <v>1.2</v>
      </c>
      <c r="AE16" s="68">
        <v>4.7</v>
      </c>
      <c r="AF16" s="68">
        <v>2</v>
      </c>
      <c r="AG16" s="68">
        <v>2</v>
      </c>
      <c r="AH16" s="68">
        <v>5</v>
      </c>
      <c r="AI16" s="67">
        <f t="shared" si="7"/>
        <v>66.099999999999994</v>
      </c>
      <c r="AJ16" s="111">
        <f t="shared" si="17"/>
        <v>6</v>
      </c>
      <c r="AK16" s="60"/>
      <c r="AL16">
        <f t="shared" si="18"/>
        <v>6</v>
      </c>
      <c r="AM16">
        <v>2</v>
      </c>
      <c r="AN16">
        <v>2</v>
      </c>
      <c r="AO16" s="69">
        <v>17.7</v>
      </c>
      <c r="AP16" s="69">
        <v>18.899999999999999</v>
      </c>
      <c r="AQ16" s="69">
        <v>13.9</v>
      </c>
      <c r="AS16" s="121">
        <f t="shared" si="10"/>
        <v>16.833333333333332</v>
      </c>
      <c r="AT16" s="69">
        <v>18.600000000000001</v>
      </c>
      <c r="AU16" s="69">
        <v>14.6</v>
      </c>
      <c r="AV16" s="69">
        <v>17.8</v>
      </c>
      <c r="AX16" s="121">
        <f t="shared" si="11"/>
        <v>17</v>
      </c>
      <c r="AY16" s="69">
        <v>15</v>
      </c>
      <c r="AZ16" s="69">
        <v>15.6</v>
      </c>
      <c r="BA16" s="69">
        <v>13.4</v>
      </c>
      <c r="BC16" s="121">
        <f t="shared" si="12"/>
        <v>14.666666666666666</v>
      </c>
      <c r="BD16" s="69">
        <v>13.4</v>
      </c>
      <c r="BE16" s="69">
        <v>15.3</v>
      </c>
      <c r="BF16" s="69">
        <v>15</v>
      </c>
      <c r="BH16" s="121">
        <f t="shared" si="13"/>
        <v>14.566666666666668</v>
      </c>
    </row>
    <row r="17" spans="1:60">
      <c r="A17" s="44" t="s">
        <v>578</v>
      </c>
      <c r="B17" s="44" t="s">
        <v>133</v>
      </c>
      <c r="C17" s="107" t="s">
        <v>277</v>
      </c>
      <c r="D17" s="107">
        <v>4</v>
      </c>
      <c r="E17" s="46">
        <v>0.55138888888889004</v>
      </c>
      <c r="F17" s="46">
        <v>0.60017361111111112</v>
      </c>
      <c r="G17" s="46">
        <v>0.67001157407407408</v>
      </c>
      <c r="H17" s="47">
        <f t="shared" si="0"/>
        <v>4.8784722222221077E-2</v>
      </c>
      <c r="I17" s="47">
        <f>H17-MIN(H$17:H$19)</f>
        <v>1.6585648148148668E-2</v>
      </c>
      <c r="J17" s="47">
        <f t="shared" si="2"/>
        <v>0.11862268518518404</v>
      </c>
      <c r="K17" s="48">
        <v>0.10416666666666667</v>
      </c>
      <c r="L17" s="46">
        <v>0.27777777777777779</v>
      </c>
      <c r="M17" s="46">
        <v>0.32314814814814813</v>
      </c>
      <c r="N17" s="46">
        <v>0.46180555555555558</v>
      </c>
      <c r="O17" s="47">
        <f t="shared" si="3"/>
        <v>4.5370370370370339E-2</v>
      </c>
      <c r="P17" s="47">
        <f>O17-MIN(O$17:O$19)</f>
        <v>1.446759259259256E-2</v>
      </c>
      <c r="Q17" s="47">
        <f t="shared" si="5"/>
        <v>0.18402777777777779</v>
      </c>
      <c r="R17" s="48">
        <v>0.20138888888888887</v>
      </c>
      <c r="S17" s="49">
        <f>ROUND(MAX(S$2-I17*60*24*0.5,0),1)</f>
        <v>3.1</v>
      </c>
      <c r="T17" s="49">
        <f>ROUND(MAX(T$2-P17*60*24*0.5,0),1)-0.2</f>
        <v>4.3999999999999995</v>
      </c>
      <c r="U17" s="49">
        <f t="shared" si="15"/>
        <v>0.8</v>
      </c>
      <c r="V17" s="49">
        <f t="shared" si="16"/>
        <v>5</v>
      </c>
      <c r="W17" s="50">
        <v>3</v>
      </c>
      <c r="X17" s="50">
        <v>6.2</v>
      </c>
      <c r="Y17" s="50">
        <v>2.6</v>
      </c>
      <c r="Z17" s="50">
        <v>0</v>
      </c>
      <c r="AA17" s="50">
        <v>0.8</v>
      </c>
      <c r="AB17" s="50">
        <v>0</v>
      </c>
      <c r="AC17" s="50">
        <v>1</v>
      </c>
      <c r="AD17" s="50">
        <v>1.2</v>
      </c>
      <c r="AE17" s="50">
        <v>2.8</v>
      </c>
      <c r="AF17" s="50">
        <v>0</v>
      </c>
      <c r="AG17" s="50">
        <v>0</v>
      </c>
      <c r="AH17" s="50">
        <v>3.8</v>
      </c>
      <c r="AI17" s="49">
        <f t="shared" si="7"/>
        <v>34.700000000000003</v>
      </c>
      <c r="AJ17" s="51">
        <f>RANK(AI17,$AI$17:$AI$18)</f>
        <v>2</v>
      </c>
      <c r="AK17" t="s">
        <v>601</v>
      </c>
      <c r="AL17">
        <f>RANK(I17,$I$17:$I$18,1)</f>
        <v>2</v>
      </c>
      <c r="AM17">
        <v>0</v>
      </c>
      <c r="AN17">
        <v>0</v>
      </c>
      <c r="AO17" s="81">
        <v>15.9</v>
      </c>
      <c r="AP17" s="81">
        <v>13.3</v>
      </c>
      <c r="AQ17" s="81">
        <v>14.3</v>
      </c>
      <c r="AR17" s="81">
        <v>16.5</v>
      </c>
      <c r="AS17" s="121">
        <f t="shared" si="10"/>
        <v>15</v>
      </c>
      <c r="AT17" s="81">
        <v>14.3</v>
      </c>
      <c r="AU17" s="81">
        <v>16.3</v>
      </c>
      <c r="AV17" s="81">
        <v>16.100000000000001</v>
      </c>
      <c r="AW17" s="81">
        <v>13.4</v>
      </c>
      <c r="AX17" s="121">
        <f t="shared" si="11"/>
        <v>15.025</v>
      </c>
      <c r="AY17" s="81">
        <v>9.6999999999999993</v>
      </c>
      <c r="AZ17" s="81">
        <v>11.25</v>
      </c>
      <c r="BA17" s="81">
        <v>10.3</v>
      </c>
      <c r="BB17" s="81">
        <v>13.15</v>
      </c>
      <c r="BC17" s="121">
        <f t="shared" si="12"/>
        <v>11.1</v>
      </c>
      <c r="BD17" s="81">
        <v>10.199999999999999</v>
      </c>
      <c r="BE17" s="81">
        <v>10.1</v>
      </c>
      <c r="BF17" s="81">
        <v>10.4</v>
      </c>
      <c r="BG17" s="81">
        <v>13.1</v>
      </c>
      <c r="BH17" s="121">
        <f t="shared" si="13"/>
        <v>10.95</v>
      </c>
    </row>
    <row r="18" spans="1:60" ht="14.25" thickBot="1">
      <c r="A18" s="52" t="s">
        <v>579</v>
      </c>
      <c r="B18" s="52" t="s">
        <v>50</v>
      </c>
      <c r="C18" s="108" t="s">
        <v>278</v>
      </c>
      <c r="D18" s="108">
        <v>4</v>
      </c>
      <c r="E18" s="16">
        <v>0.55208333333333504</v>
      </c>
      <c r="F18" s="16">
        <v>0.58428240740740744</v>
      </c>
      <c r="G18" s="16">
        <v>0.64105324074074077</v>
      </c>
      <c r="H18" s="17">
        <f t="shared" si="0"/>
        <v>3.2199074074072409E-2</v>
      </c>
      <c r="I18" s="17">
        <f>H18-MIN(H$17:H$19)</f>
        <v>0</v>
      </c>
      <c r="J18" s="17">
        <f t="shared" si="2"/>
        <v>8.8969907407405735E-2</v>
      </c>
      <c r="K18" s="18">
        <v>0.10416666666666667</v>
      </c>
      <c r="L18" s="16">
        <v>0.27708333333333335</v>
      </c>
      <c r="M18" s="16">
        <v>0.30798611111111113</v>
      </c>
      <c r="N18" s="16">
        <v>0.43568287037037035</v>
      </c>
      <c r="O18" s="17">
        <f t="shared" si="3"/>
        <v>3.0902777777777779E-2</v>
      </c>
      <c r="P18" s="17">
        <f>O18-MIN(O$17:O$19)</f>
        <v>0</v>
      </c>
      <c r="Q18" s="17">
        <f t="shared" si="5"/>
        <v>0.158599537037037</v>
      </c>
      <c r="R18" s="18">
        <v>0.20138888888888887</v>
      </c>
      <c r="S18" s="19">
        <f>ROUND(MAX(S$2-I18*60*24*0.5,0),1)</f>
        <v>15</v>
      </c>
      <c r="T18" s="19">
        <f t="shared" si="6"/>
        <v>15</v>
      </c>
      <c r="U18" s="19">
        <f t="shared" si="15"/>
        <v>5</v>
      </c>
      <c r="V18" s="19">
        <f t="shared" si="16"/>
        <v>5</v>
      </c>
      <c r="W18" s="37">
        <v>10</v>
      </c>
      <c r="X18" s="37">
        <v>8</v>
      </c>
      <c r="Y18" s="37">
        <v>4</v>
      </c>
      <c r="Z18" s="37">
        <v>4.7</v>
      </c>
      <c r="AA18" s="37">
        <v>2</v>
      </c>
      <c r="AB18" s="37">
        <v>7</v>
      </c>
      <c r="AC18" s="37">
        <v>3.6</v>
      </c>
      <c r="AD18" s="37">
        <v>2</v>
      </c>
      <c r="AE18" s="37">
        <v>5.2</v>
      </c>
      <c r="AF18" s="37">
        <v>3.5</v>
      </c>
      <c r="AG18" s="37">
        <v>3</v>
      </c>
      <c r="AH18" s="37">
        <v>5</v>
      </c>
      <c r="AI18" s="19">
        <f t="shared" si="7"/>
        <v>98</v>
      </c>
      <c r="AJ18" s="33">
        <f>RANK(AI18,$AI$17:$AI$18)</f>
        <v>1</v>
      </c>
      <c r="AL18">
        <f>RANK(I18,$I$17:$I$18,1)</f>
        <v>1</v>
      </c>
      <c r="AM18">
        <v>2</v>
      </c>
      <c r="AN18">
        <v>5</v>
      </c>
      <c r="AO18" s="81">
        <v>12</v>
      </c>
      <c r="AP18" s="81">
        <v>12.6</v>
      </c>
      <c r="AQ18" s="81">
        <v>13.2</v>
      </c>
      <c r="AR18" s="81">
        <v>13.3</v>
      </c>
      <c r="AS18" s="121">
        <f t="shared" si="10"/>
        <v>12.774999999999999</v>
      </c>
      <c r="AT18" s="81">
        <v>13.2</v>
      </c>
      <c r="AU18" s="81">
        <v>12</v>
      </c>
      <c r="AV18" s="81">
        <v>12.7</v>
      </c>
      <c r="AW18" s="81">
        <v>13.5</v>
      </c>
      <c r="AX18" s="121">
        <f t="shared" si="11"/>
        <v>12.85</v>
      </c>
      <c r="AY18" s="81">
        <v>13.05</v>
      </c>
      <c r="AZ18" s="81">
        <v>12.3</v>
      </c>
      <c r="BA18" s="81">
        <v>11.7</v>
      </c>
      <c r="BB18" s="81">
        <v>12.8</v>
      </c>
      <c r="BC18" s="121">
        <f t="shared" si="12"/>
        <v>12.462499999999999</v>
      </c>
      <c r="BD18" s="81">
        <v>12.9</v>
      </c>
      <c r="BE18" s="81">
        <v>12.1</v>
      </c>
      <c r="BF18" s="81">
        <v>11.4</v>
      </c>
      <c r="BG18" s="81">
        <v>12.7</v>
      </c>
      <c r="BH18" s="121">
        <f t="shared" si="13"/>
        <v>12.274999999999999</v>
      </c>
    </row>
    <row r="19" spans="1:60" s="120" customFormat="1" ht="15" thickTop="1" thickBot="1">
      <c r="A19" s="138" t="s">
        <v>177</v>
      </c>
      <c r="B19" s="138" t="s">
        <v>133</v>
      </c>
      <c r="C19" s="139" t="s">
        <v>280</v>
      </c>
      <c r="D19" s="139">
        <v>4</v>
      </c>
      <c r="E19" s="114">
        <v>0.55277777777777903</v>
      </c>
      <c r="F19" s="114">
        <v>0.58920138888888884</v>
      </c>
      <c r="G19" s="114">
        <v>0.65271990740740737</v>
      </c>
      <c r="H19" s="115">
        <f t="shared" si="0"/>
        <v>3.642361111110981E-2</v>
      </c>
      <c r="I19" s="115">
        <f>H19-MIN(H$17:H$19)</f>
        <v>4.2245370370374014E-3</v>
      </c>
      <c r="J19" s="115">
        <f t="shared" si="2"/>
        <v>9.994212962962834E-2</v>
      </c>
      <c r="K19" s="116">
        <v>0.10416666666666667</v>
      </c>
      <c r="L19" s="114">
        <v>0.27847222222222223</v>
      </c>
      <c r="M19" s="114">
        <v>0.31452546296296297</v>
      </c>
      <c r="N19" s="114">
        <v>0.41592592592592598</v>
      </c>
      <c r="O19" s="115">
        <f t="shared" si="3"/>
        <v>3.6053240740740733E-2</v>
      </c>
      <c r="P19" s="115">
        <f>O19-MIN(O$17:O$19)</f>
        <v>5.1504629629629539E-3</v>
      </c>
      <c r="Q19" s="115">
        <f t="shared" si="5"/>
        <v>0.13745370370370374</v>
      </c>
      <c r="R19" s="116">
        <v>0.20138888888888887</v>
      </c>
      <c r="S19" s="117">
        <v>0</v>
      </c>
      <c r="T19" s="117">
        <v>0</v>
      </c>
      <c r="U19" s="117">
        <f t="shared" si="15"/>
        <v>5</v>
      </c>
      <c r="V19" s="117">
        <f t="shared" si="16"/>
        <v>5</v>
      </c>
      <c r="W19" s="118">
        <v>0.5</v>
      </c>
      <c r="X19" s="118">
        <v>6.7</v>
      </c>
      <c r="Y19" s="118">
        <v>3</v>
      </c>
      <c r="Z19" s="118">
        <v>0</v>
      </c>
      <c r="AA19" s="118">
        <v>0.6</v>
      </c>
      <c r="AB19" s="118">
        <v>0</v>
      </c>
      <c r="AC19" s="118">
        <v>1.4</v>
      </c>
      <c r="AD19" s="118">
        <v>1</v>
      </c>
      <c r="AE19" s="118">
        <v>1.4</v>
      </c>
      <c r="AF19" s="118">
        <v>0</v>
      </c>
      <c r="AG19" s="118">
        <v>0</v>
      </c>
      <c r="AH19" s="118">
        <v>4</v>
      </c>
      <c r="AI19" s="117">
        <f t="shared" si="7"/>
        <v>28.599999999999998</v>
      </c>
      <c r="AJ19" s="119">
        <f>RANK(AI19,$AI$19)</f>
        <v>1</v>
      </c>
      <c r="AK19" s="120" t="s">
        <v>602</v>
      </c>
      <c r="AL19">
        <f>RANK(I19,$I$19,1)</f>
        <v>1</v>
      </c>
      <c r="AM19">
        <v>0</v>
      </c>
      <c r="AN19">
        <v>0</v>
      </c>
      <c r="AO19" s="120">
        <v>1.4</v>
      </c>
      <c r="AP19" s="120">
        <v>2.4</v>
      </c>
      <c r="AQ19" s="120">
        <v>2.9</v>
      </c>
      <c r="AR19" s="120">
        <v>4.3</v>
      </c>
      <c r="AS19" s="121">
        <f t="shared" si="10"/>
        <v>2.75</v>
      </c>
      <c r="AT19" s="120">
        <v>2.8</v>
      </c>
      <c r="AU19" s="120">
        <v>4.3</v>
      </c>
      <c r="AV19" s="120">
        <v>1.9</v>
      </c>
      <c r="AW19" s="120">
        <v>2.5</v>
      </c>
      <c r="AX19" s="121">
        <f t="shared" si="11"/>
        <v>2.875</v>
      </c>
      <c r="AY19" s="120">
        <v>1.7</v>
      </c>
      <c r="AZ19" s="120">
        <v>0.9</v>
      </c>
      <c r="BA19" s="120">
        <v>1.4</v>
      </c>
      <c r="BB19" s="120">
        <v>1.6</v>
      </c>
      <c r="BC19" s="121">
        <f t="shared" si="12"/>
        <v>1.4</v>
      </c>
      <c r="BD19" s="120">
        <v>1.4</v>
      </c>
      <c r="BE19" s="120">
        <v>2.2000000000000002</v>
      </c>
      <c r="BF19" s="120">
        <v>1.2</v>
      </c>
      <c r="BG19" s="120">
        <v>1.5</v>
      </c>
      <c r="BH19" s="121">
        <f t="shared" si="13"/>
        <v>1.575</v>
      </c>
    </row>
    <row r="20" spans="1:60" s="22" customFormat="1">
      <c r="A20" s="134" t="s">
        <v>591</v>
      </c>
      <c r="B20" s="141" t="s">
        <v>590</v>
      </c>
      <c r="C20" s="142"/>
      <c r="D20" s="142">
        <v>2</v>
      </c>
      <c r="E20" s="143"/>
      <c r="F20" s="143"/>
      <c r="G20" s="143"/>
      <c r="H20" s="144"/>
      <c r="I20" s="144"/>
      <c r="J20" s="144"/>
      <c r="K20" s="145"/>
      <c r="L20" s="143"/>
      <c r="M20" s="143"/>
      <c r="N20" s="143"/>
      <c r="O20" s="144"/>
      <c r="P20" s="144"/>
      <c r="Q20" s="144"/>
      <c r="R20" s="145"/>
      <c r="S20" s="146"/>
      <c r="T20" s="146"/>
      <c r="U20" s="146"/>
      <c r="V20" s="146"/>
      <c r="W20" s="147"/>
      <c r="X20" s="147"/>
      <c r="Y20" s="147"/>
      <c r="Z20" s="147"/>
      <c r="AA20" s="147"/>
      <c r="AB20" s="147"/>
      <c r="AC20" s="147"/>
      <c r="AD20" s="147"/>
      <c r="AE20" s="147"/>
      <c r="AF20" s="147"/>
      <c r="AG20" s="147"/>
      <c r="AH20" s="147"/>
      <c r="AI20" s="146"/>
      <c r="AJ20" s="148"/>
      <c r="AL20"/>
      <c r="AM20"/>
      <c r="AN20"/>
      <c r="AS20" s="121"/>
      <c r="AX20" s="121"/>
      <c r="BC20" s="121"/>
      <c r="BH20" s="121"/>
    </row>
    <row r="21" spans="1:60">
      <c r="A21" s="44" t="s">
        <v>580</v>
      </c>
      <c r="B21" s="44" t="s">
        <v>124</v>
      </c>
      <c r="C21" s="140"/>
      <c r="D21" s="107">
        <v>1</v>
      </c>
      <c r="E21" s="46"/>
      <c r="F21" s="46"/>
      <c r="G21" s="46"/>
      <c r="H21" s="47"/>
      <c r="I21" s="47"/>
      <c r="J21" s="47"/>
      <c r="K21" s="48"/>
      <c r="L21" s="46"/>
      <c r="M21" s="46"/>
      <c r="N21" s="46"/>
      <c r="O21" s="47"/>
      <c r="P21" s="47"/>
      <c r="Q21" s="47"/>
      <c r="R21" s="48"/>
      <c r="S21" s="49"/>
      <c r="T21" s="49"/>
      <c r="U21" s="49"/>
      <c r="V21" s="49"/>
      <c r="W21" s="50"/>
      <c r="X21" s="50"/>
      <c r="Y21" s="50"/>
      <c r="Z21" s="50"/>
      <c r="AA21" s="50"/>
      <c r="AB21" s="50"/>
      <c r="AC21" s="50"/>
      <c r="AD21" s="50"/>
      <c r="AE21" s="50"/>
      <c r="AF21" s="50"/>
      <c r="AG21" s="50"/>
      <c r="AH21" s="50"/>
      <c r="AI21" s="49"/>
      <c r="AJ21" s="51"/>
      <c r="AL21">
        <f>44-5.6</f>
        <v>38.4</v>
      </c>
    </row>
    <row r="22" spans="1:60">
      <c r="A22" s="44" t="s">
        <v>580</v>
      </c>
      <c r="B22" s="14" t="s">
        <v>15</v>
      </c>
      <c r="C22" s="130"/>
      <c r="D22" s="101">
        <v>1</v>
      </c>
      <c r="E22" s="46"/>
      <c r="F22" s="46"/>
      <c r="G22" s="46"/>
      <c r="H22" s="17"/>
      <c r="I22" s="17"/>
      <c r="J22" s="17"/>
      <c r="K22" s="48"/>
      <c r="L22" s="46"/>
      <c r="M22" s="46"/>
      <c r="N22" s="46"/>
      <c r="O22" s="47"/>
      <c r="P22" s="47"/>
      <c r="Q22" s="47"/>
      <c r="R22" s="48"/>
      <c r="S22" s="19"/>
      <c r="T22" s="19"/>
      <c r="U22" s="19"/>
      <c r="V22" s="49"/>
      <c r="W22" s="50"/>
      <c r="X22" s="50"/>
      <c r="Y22" s="50"/>
      <c r="Z22" s="50"/>
      <c r="AA22" s="50"/>
      <c r="AB22" s="50"/>
      <c r="AC22" s="50"/>
      <c r="AD22" s="50"/>
      <c r="AE22" s="50"/>
      <c r="AF22" s="50"/>
      <c r="AG22" s="50"/>
      <c r="AH22" s="50"/>
      <c r="AI22" s="49"/>
      <c r="AJ22" s="51"/>
    </row>
    <row r="23" spans="1:60">
      <c r="A23" s="14" t="s">
        <v>581</v>
      </c>
      <c r="B23" s="14" t="s">
        <v>592</v>
      </c>
      <c r="C23" s="101"/>
      <c r="D23" s="101">
        <v>3</v>
      </c>
      <c r="E23" s="16"/>
      <c r="F23" s="16"/>
      <c r="G23" s="16"/>
      <c r="H23" s="17"/>
      <c r="I23" s="17"/>
      <c r="J23" s="17"/>
      <c r="K23" s="18"/>
      <c r="L23" s="16"/>
      <c r="M23" s="16"/>
      <c r="N23" s="16"/>
      <c r="O23" s="17"/>
      <c r="P23" s="17"/>
      <c r="Q23" s="17"/>
      <c r="R23" s="18"/>
      <c r="S23" s="19"/>
      <c r="T23" s="19"/>
      <c r="U23" s="19"/>
      <c r="V23" s="19"/>
      <c r="W23" s="37"/>
      <c r="X23" s="37"/>
      <c r="Y23" s="37"/>
      <c r="Z23" s="37"/>
      <c r="AA23" s="37"/>
      <c r="AB23" s="37"/>
      <c r="AC23" s="37"/>
      <c r="AD23" s="37"/>
      <c r="AE23" s="37"/>
      <c r="AF23" s="37"/>
      <c r="AG23" s="37"/>
      <c r="AH23" s="37"/>
      <c r="AI23" s="19"/>
      <c r="AJ23" s="33"/>
    </row>
    <row r="24" spans="1:60">
      <c r="A24" s="14" t="s">
        <v>582</v>
      </c>
      <c r="B24" s="14" t="s">
        <v>69</v>
      </c>
      <c r="C24" s="101"/>
      <c r="D24" s="101">
        <v>6</v>
      </c>
      <c r="E24" s="16"/>
      <c r="F24" s="16"/>
      <c r="G24" s="16"/>
      <c r="H24" s="17"/>
      <c r="I24" s="17"/>
      <c r="J24" s="17"/>
      <c r="K24" s="18"/>
      <c r="L24" s="16"/>
      <c r="M24" s="16"/>
      <c r="N24" s="16"/>
      <c r="O24" s="17"/>
      <c r="P24" s="17"/>
      <c r="Q24" s="17"/>
      <c r="R24" s="18"/>
      <c r="S24" s="19"/>
      <c r="T24" s="19"/>
      <c r="U24" s="19"/>
      <c r="V24" s="19"/>
      <c r="W24" s="37"/>
      <c r="X24" s="37"/>
      <c r="Y24" s="37"/>
      <c r="Z24" s="37"/>
      <c r="AA24" s="37"/>
      <c r="AB24" s="37"/>
      <c r="AC24" s="37"/>
      <c r="AD24" s="37"/>
      <c r="AE24" s="37"/>
      <c r="AF24" s="37"/>
      <c r="AG24" s="37"/>
      <c r="AH24" s="37"/>
      <c r="AI24" s="19"/>
      <c r="AJ24" s="33"/>
    </row>
    <row r="25" spans="1:60">
      <c r="A25" s="14" t="s">
        <v>583</v>
      </c>
      <c r="B25" s="14" t="s">
        <v>29</v>
      </c>
      <c r="C25" s="101"/>
      <c r="D25" s="101">
        <v>1</v>
      </c>
      <c r="E25" s="16"/>
      <c r="F25" s="16"/>
      <c r="G25" s="16"/>
      <c r="H25" s="17"/>
      <c r="I25" s="17"/>
      <c r="J25" s="17"/>
      <c r="K25" s="18"/>
      <c r="L25" s="16"/>
      <c r="M25" s="16"/>
      <c r="N25" s="16"/>
      <c r="O25" s="17"/>
      <c r="P25" s="17"/>
      <c r="Q25" s="17"/>
      <c r="R25" s="18"/>
      <c r="S25" s="19"/>
      <c r="T25" s="19"/>
      <c r="U25" s="19"/>
      <c r="V25" s="19"/>
      <c r="W25" s="37"/>
      <c r="X25" s="37"/>
      <c r="Y25" s="37"/>
      <c r="Z25" s="37"/>
      <c r="AA25" s="37"/>
      <c r="AB25" s="37"/>
      <c r="AC25" s="37"/>
      <c r="AD25" s="37"/>
      <c r="AE25" s="37"/>
      <c r="AF25" s="37"/>
      <c r="AG25" s="37"/>
      <c r="AH25" s="37"/>
      <c r="AI25" s="19"/>
      <c r="AJ25" s="33"/>
    </row>
    <row r="26" spans="1:60">
      <c r="A26" s="14" t="s">
        <v>584</v>
      </c>
      <c r="B26" s="14" t="s">
        <v>585</v>
      </c>
      <c r="C26" s="101"/>
      <c r="D26" s="101">
        <v>2</v>
      </c>
      <c r="E26" s="16"/>
      <c r="F26" s="16"/>
      <c r="G26" s="16"/>
      <c r="H26" s="17"/>
      <c r="I26" s="17"/>
      <c r="J26" s="17"/>
      <c r="K26" s="18"/>
      <c r="L26" s="16"/>
      <c r="M26" s="16"/>
      <c r="N26" s="16"/>
      <c r="O26" s="17"/>
      <c r="P26" s="17"/>
      <c r="Q26" s="17"/>
      <c r="R26" s="18"/>
      <c r="S26" s="19"/>
      <c r="T26" s="19"/>
      <c r="U26" s="19"/>
      <c r="V26" s="19"/>
      <c r="W26" s="37"/>
      <c r="X26" s="37"/>
      <c r="Y26" s="37"/>
      <c r="Z26" s="37"/>
      <c r="AA26" s="37"/>
      <c r="AB26" s="37"/>
      <c r="AC26" s="37"/>
      <c r="AD26" s="37"/>
      <c r="AE26" s="37"/>
      <c r="AF26" s="37"/>
      <c r="AG26" s="37"/>
      <c r="AH26" s="37"/>
      <c r="AI26" s="19"/>
      <c r="AJ26" s="33"/>
    </row>
    <row r="27" spans="1:60">
      <c r="A27" s="14" t="s">
        <v>586</v>
      </c>
      <c r="B27" s="14" t="s">
        <v>179</v>
      </c>
      <c r="C27" s="101"/>
      <c r="D27" s="101">
        <v>2</v>
      </c>
      <c r="E27" s="16"/>
      <c r="F27" s="16"/>
      <c r="G27" s="16"/>
      <c r="H27" s="17"/>
      <c r="I27" s="17"/>
      <c r="J27" s="17"/>
      <c r="K27" s="18"/>
      <c r="L27" s="16"/>
      <c r="M27" s="16"/>
      <c r="N27" s="16"/>
      <c r="O27" s="17"/>
      <c r="P27" s="17"/>
      <c r="Q27" s="17"/>
      <c r="R27" s="18"/>
      <c r="S27" s="19"/>
      <c r="T27" s="19"/>
      <c r="U27" s="19"/>
      <c r="V27" s="19"/>
      <c r="W27" s="37"/>
      <c r="X27" s="37"/>
      <c r="Y27" s="37"/>
      <c r="Z27" s="37"/>
      <c r="AA27" s="37"/>
      <c r="AB27" s="37"/>
      <c r="AC27" s="37"/>
      <c r="AD27" s="37"/>
      <c r="AE27" s="37"/>
      <c r="AF27" s="37"/>
      <c r="AG27" s="37"/>
      <c r="AH27" s="37"/>
      <c r="AI27" s="19"/>
      <c r="AJ27" s="33"/>
    </row>
    <row r="28" spans="1:60">
      <c r="A28" s="14" t="s">
        <v>586</v>
      </c>
      <c r="B28" s="14" t="s">
        <v>213</v>
      </c>
      <c r="C28" s="101"/>
      <c r="D28" s="101">
        <v>1</v>
      </c>
      <c r="E28" s="16"/>
      <c r="F28" s="16"/>
      <c r="G28" s="16"/>
      <c r="H28" s="17"/>
      <c r="I28" s="17"/>
      <c r="J28" s="17"/>
      <c r="K28" s="18"/>
      <c r="L28" s="16"/>
      <c r="M28" s="16"/>
      <c r="N28" s="16"/>
      <c r="O28" s="17"/>
      <c r="P28" s="17"/>
      <c r="Q28" s="17"/>
      <c r="R28" s="18"/>
      <c r="S28" s="19"/>
      <c r="T28" s="19"/>
      <c r="U28" s="19"/>
      <c r="V28" s="19"/>
      <c r="W28" s="37"/>
      <c r="X28" s="37"/>
      <c r="Y28" s="37"/>
      <c r="Z28" s="37"/>
      <c r="AA28" s="37"/>
      <c r="AB28" s="37"/>
      <c r="AC28" s="37"/>
      <c r="AD28" s="37"/>
      <c r="AE28" s="37"/>
      <c r="AF28" s="37"/>
      <c r="AG28" s="37"/>
      <c r="AH28" s="37"/>
      <c r="AI28" s="19"/>
      <c r="AJ28" s="33"/>
    </row>
    <row r="29" spans="1:60">
      <c r="A29" s="14" t="s">
        <v>593</v>
      </c>
      <c r="B29" s="14" t="s">
        <v>50</v>
      </c>
      <c r="C29" s="101"/>
      <c r="D29" s="101">
        <v>2</v>
      </c>
      <c r="E29" s="16"/>
      <c r="F29" s="16"/>
      <c r="G29" s="16"/>
      <c r="H29" s="17"/>
      <c r="I29" s="17"/>
      <c r="J29" s="17"/>
      <c r="K29" s="18"/>
      <c r="L29" s="16"/>
      <c r="M29" s="16"/>
      <c r="N29" s="16"/>
      <c r="O29" s="17"/>
      <c r="P29" s="17"/>
      <c r="Q29" s="17"/>
      <c r="R29" s="18"/>
      <c r="S29" s="19"/>
      <c r="T29" s="19"/>
      <c r="U29" s="19"/>
      <c r="V29" s="19"/>
      <c r="W29" s="37"/>
      <c r="X29" s="37"/>
      <c r="Y29" s="37"/>
      <c r="Z29" s="37"/>
      <c r="AA29" s="37"/>
      <c r="AB29" s="37"/>
      <c r="AC29" s="37"/>
      <c r="AD29" s="37"/>
      <c r="AE29" s="37"/>
      <c r="AF29" s="37"/>
      <c r="AG29" s="37"/>
      <c r="AH29" s="37"/>
      <c r="AI29" s="19"/>
      <c r="AJ29" s="33"/>
    </row>
    <row r="30" spans="1:60">
      <c r="A30" s="14" t="s">
        <v>587</v>
      </c>
      <c r="B30" s="14" t="s">
        <v>219</v>
      </c>
      <c r="C30" s="101"/>
      <c r="D30" s="101">
        <v>2</v>
      </c>
      <c r="E30" s="16"/>
      <c r="F30" s="16"/>
      <c r="G30" s="16"/>
      <c r="H30" s="17"/>
      <c r="I30" s="17"/>
      <c r="J30" s="17"/>
      <c r="K30" s="18"/>
      <c r="L30" s="16"/>
      <c r="M30" s="16"/>
      <c r="N30" s="16"/>
      <c r="O30" s="17"/>
      <c r="P30" s="17"/>
      <c r="Q30" s="17"/>
      <c r="R30" s="18"/>
      <c r="S30" s="19"/>
      <c r="T30" s="19"/>
      <c r="U30" s="19"/>
      <c r="V30" s="19"/>
      <c r="W30" s="37"/>
      <c r="X30" s="37"/>
      <c r="Y30" s="37"/>
      <c r="Z30" s="37"/>
      <c r="AA30" s="37"/>
      <c r="AB30" s="37"/>
      <c r="AC30" s="37"/>
      <c r="AD30" s="37"/>
      <c r="AE30" s="37"/>
      <c r="AF30" s="37"/>
      <c r="AG30" s="37"/>
      <c r="AH30" s="37"/>
      <c r="AI30" s="19"/>
      <c r="AJ30" s="33"/>
    </row>
    <row r="31" spans="1:60">
      <c r="A31" s="14" t="s">
        <v>587</v>
      </c>
      <c r="B31" s="14" t="s">
        <v>124</v>
      </c>
      <c r="C31" s="101"/>
      <c r="D31" s="101">
        <v>1</v>
      </c>
      <c r="E31" s="16"/>
      <c r="F31" s="16"/>
      <c r="G31" s="16"/>
      <c r="H31" s="17"/>
      <c r="I31" s="17"/>
      <c r="J31" s="17"/>
      <c r="K31" s="18"/>
      <c r="L31" s="16"/>
      <c r="M31" s="16"/>
      <c r="N31" s="16"/>
      <c r="O31" s="17"/>
      <c r="P31" s="17"/>
      <c r="Q31" s="17"/>
      <c r="R31" s="18"/>
      <c r="S31" s="19"/>
      <c r="T31" s="19"/>
      <c r="U31" s="19"/>
      <c r="V31" s="19"/>
      <c r="W31" s="37"/>
      <c r="X31" s="37"/>
      <c r="Y31" s="37"/>
      <c r="Z31" s="37"/>
      <c r="AA31" s="37"/>
      <c r="AB31" s="37"/>
      <c r="AC31" s="37"/>
      <c r="AD31" s="37"/>
      <c r="AE31" s="37"/>
      <c r="AF31" s="37"/>
      <c r="AG31" s="37"/>
      <c r="AH31" s="37"/>
      <c r="AI31" s="19"/>
      <c r="AJ31" s="33"/>
    </row>
    <row r="32" spans="1:60">
      <c r="A32" s="14" t="s">
        <v>587</v>
      </c>
      <c r="B32" s="14" t="s">
        <v>140</v>
      </c>
      <c r="C32" s="101"/>
      <c r="D32" s="101">
        <v>2</v>
      </c>
      <c r="E32" s="16"/>
      <c r="F32" s="16"/>
      <c r="G32" s="16"/>
      <c r="H32" s="17"/>
      <c r="I32" s="17"/>
      <c r="J32" s="17"/>
      <c r="K32" s="18"/>
      <c r="L32" s="16"/>
      <c r="M32" s="16"/>
      <c r="N32" s="16"/>
      <c r="O32" s="17"/>
      <c r="P32" s="17"/>
      <c r="Q32" s="17"/>
      <c r="R32" s="18"/>
      <c r="S32" s="19"/>
      <c r="T32" s="19"/>
      <c r="U32" s="19"/>
      <c r="V32" s="19"/>
      <c r="W32" s="37"/>
      <c r="X32" s="37"/>
      <c r="Y32" s="37"/>
      <c r="Z32" s="37"/>
      <c r="AA32" s="37"/>
      <c r="AB32" s="37"/>
      <c r="AC32" s="37"/>
      <c r="AD32" s="37"/>
      <c r="AE32" s="37"/>
      <c r="AF32" s="37"/>
      <c r="AG32" s="37"/>
      <c r="AH32" s="37"/>
      <c r="AI32" s="19"/>
      <c r="AJ32" s="33"/>
    </row>
    <row r="33" spans="1:60">
      <c r="A33" s="14" t="s">
        <v>587</v>
      </c>
      <c r="B33" s="14" t="s">
        <v>15</v>
      </c>
      <c r="C33" s="101"/>
      <c r="D33" s="101">
        <v>2</v>
      </c>
      <c r="E33" s="16"/>
      <c r="F33" s="16"/>
      <c r="G33" s="16"/>
      <c r="H33" s="17"/>
      <c r="I33" s="17"/>
      <c r="J33" s="17"/>
      <c r="K33" s="18"/>
      <c r="L33" s="16"/>
      <c r="M33" s="16"/>
      <c r="N33" s="16"/>
      <c r="O33" s="17"/>
      <c r="P33" s="17"/>
      <c r="Q33" s="17"/>
      <c r="R33" s="18"/>
      <c r="S33" s="19"/>
      <c r="T33" s="19"/>
      <c r="U33" s="19"/>
      <c r="V33" s="19"/>
      <c r="W33" s="37"/>
      <c r="X33" s="37"/>
      <c r="Y33" s="37"/>
      <c r="Z33" s="37"/>
      <c r="AA33" s="37"/>
      <c r="AB33" s="37"/>
      <c r="AC33" s="37"/>
      <c r="AD33" s="37"/>
      <c r="AE33" s="37"/>
      <c r="AF33" s="37"/>
      <c r="AG33" s="37"/>
      <c r="AH33" s="37"/>
      <c r="AI33" s="19"/>
      <c r="AJ33" s="33"/>
    </row>
    <row r="34" spans="1:60" s="127" customFormat="1">
      <c r="A34" s="122"/>
      <c r="B34" s="135"/>
      <c r="C34" s="136"/>
      <c r="D34" s="137"/>
      <c r="E34" s="16">
        <f t="shared" ref="E34:AK34" si="19">AVERAGE(E3:E19)</f>
        <v>0.54722222222222316</v>
      </c>
      <c r="F34" s="16">
        <f t="shared" si="19"/>
        <v>0.57582924836601312</v>
      </c>
      <c r="G34" s="16">
        <f t="shared" si="19"/>
        <v>0.62921432461873628</v>
      </c>
      <c r="H34" s="17">
        <f t="shared" si="19"/>
        <v>2.8607026143790033E-2</v>
      </c>
      <c r="I34" s="17">
        <f t="shared" si="19"/>
        <v>7.7886710239645678E-3</v>
      </c>
      <c r="J34" s="17">
        <f t="shared" si="19"/>
        <v>8.1992102396513319E-2</v>
      </c>
      <c r="K34" s="18">
        <f t="shared" si="19"/>
        <v>8.7009803921568638E-2</v>
      </c>
      <c r="L34" s="16">
        <f t="shared" si="19"/>
        <v>0.2729166666666667</v>
      </c>
      <c r="M34" s="16">
        <f t="shared" si="19"/>
        <v>0.30012595315904139</v>
      </c>
      <c r="N34" s="16">
        <f t="shared" si="19"/>
        <v>0.41923611111111103</v>
      </c>
      <c r="O34" s="17">
        <f t="shared" si="19"/>
        <v>2.7209286492374734E-2</v>
      </c>
      <c r="P34" s="17">
        <f t="shared" si="19"/>
        <v>6.6482843137254978E-3</v>
      </c>
      <c r="Q34" s="17">
        <f t="shared" si="19"/>
        <v>0.14631944444444445</v>
      </c>
      <c r="R34" s="18">
        <f t="shared" si="19"/>
        <v>0.17279411764705879</v>
      </c>
      <c r="S34" s="126">
        <f t="shared" si="19"/>
        <v>8.6999999999999993</v>
      </c>
      <c r="T34" s="126">
        <f t="shared" si="19"/>
        <v>9.5352941176470605</v>
      </c>
      <c r="U34" s="126">
        <f t="shared" si="19"/>
        <v>4.7529411764705882</v>
      </c>
      <c r="V34" s="126">
        <f t="shared" si="19"/>
        <v>5</v>
      </c>
      <c r="W34" s="126">
        <f t="shared" si="19"/>
        <v>7.5470588235294125</v>
      </c>
      <c r="X34" s="126">
        <f t="shared" si="19"/>
        <v>7.0647058823529418</v>
      </c>
      <c r="Y34" s="126">
        <f t="shared" si="19"/>
        <v>3.4352941176470591</v>
      </c>
      <c r="Z34" s="126">
        <f t="shared" si="19"/>
        <v>2.2294117647058829</v>
      </c>
      <c r="AA34" s="126">
        <f t="shared" si="19"/>
        <v>1.5705882352941178</v>
      </c>
      <c r="AB34" s="126">
        <f t="shared" si="19"/>
        <v>4.0882352941176467</v>
      </c>
      <c r="AC34" s="126">
        <f t="shared" si="19"/>
        <v>3.0352941176470587</v>
      </c>
      <c r="AD34" s="126">
        <f t="shared" si="19"/>
        <v>1.4588235294117646</v>
      </c>
      <c r="AE34" s="126">
        <f t="shared" si="19"/>
        <v>4.8647058823529417</v>
      </c>
      <c r="AF34" s="126">
        <f t="shared" si="19"/>
        <v>2.2117647058823526</v>
      </c>
      <c r="AG34" s="126">
        <f t="shared" si="19"/>
        <v>2.2058823529411766</v>
      </c>
      <c r="AH34" s="126">
        <f t="shared" si="19"/>
        <v>4.8</v>
      </c>
      <c r="AI34" s="126">
        <f t="shared" si="19"/>
        <v>72.5</v>
      </c>
      <c r="AJ34" s="126">
        <f t="shared" si="19"/>
        <v>3.5294117647058822</v>
      </c>
      <c r="AK34" s="126" t="e">
        <f t="shared" si="19"/>
        <v>#DIV/0!</v>
      </c>
      <c r="AL34" s="126"/>
      <c r="AM34" s="126"/>
      <c r="AN34" s="126"/>
      <c r="AO34" s="126">
        <f t="shared" ref="AO34:BH34" si="20">AVERAGE(AO3:AO19)</f>
        <v>13.58235294117647</v>
      </c>
      <c r="AP34" s="126">
        <f t="shared" si="20"/>
        <v>13.047058823529412</v>
      </c>
      <c r="AQ34" s="126">
        <f t="shared" si="20"/>
        <v>12.838235294117647</v>
      </c>
      <c r="AR34" s="126">
        <f t="shared" si="20"/>
        <v>12.27857142857143</v>
      </c>
      <c r="AS34" s="126">
        <f t="shared" si="20"/>
        <v>13.015441176470588</v>
      </c>
      <c r="AT34" s="126">
        <f t="shared" si="20"/>
        <v>13.764705882352942</v>
      </c>
      <c r="AU34" s="126">
        <f t="shared" si="20"/>
        <v>12.658823529411764</v>
      </c>
      <c r="AV34" s="126">
        <f t="shared" si="20"/>
        <v>12.970588235294118</v>
      </c>
      <c r="AW34" s="126">
        <f t="shared" si="20"/>
        <v>12.214285714285714</v>
      </c>
      <c r="AX34" s="126">
        <f t="shared" si="20"/>
        <v>12.986274509803922</v>
      </c>
      <c r="AY34" s="126">
        <f t="shared" si="20"/>
        <v>12.479411764705883</v>
      </c>
      <c r="AZ34" s="126">
        <f t="shared" si="20"/>
        <v>11.405882352941179</v>
      </c>
      <c r="BA34" s="126">
        <f t="shared" si="20"/>
        <v>11.779411764705884</v>
      </c>
      <c r="BB34" s="126">
        <f t="shared" si="20"/>
        <v>11.532142857142858</v>
      </c>
      <c r="BC34" s="126">
        <f t="shared" si="20"/>
        <v>11.87328431372549</v>
      </c>
      <c r="BD34" s="126">
        <f t="shared" si="20"/>
        <v>12.335294117647059</v>
      </c>
      <c r="BE34" s="126">
        <f t="shared" si="20"/>
        <v>11.441176470588236</v>
      </c>
      <c r="BF34" s="126">
        <f t="shared" si="20"/>
        <v>11.458823529411763</v>
      </c>
      <c r="BG34" s="126">
        <f t="shared" si="20"/>
        <v>11.878571428571428</v>
      </c>
      <c r="BH34" s="126">
        <f t="shared" si="20"/>
        <v>11.82892156862745</v>
      </c>
    </row>
    <row r="35" spans="1:60" ht="14.25">
      <c r="H35" s="106" t="s">
        <v>243</v>
      </c>
    </row>
    <row r="36" spans="1:60">
      <c r="H36" s="25" t="s">
        <v>244</v>
      </c>
    </row>
    <row r="37" spans="1:60">
      <c r="H37" s="25" t="s">
        <v>258</v>
      </c>
    </row>
    <row r="38" spans="1:60">
      <c r="H38" s="25" t="s">
        <v>595</v>
      </c>
    </row>
    <row r="39" spans="1:60">
      <c r="H39" s="25" t="s">
        <v>596</v>
      </c>
    </row>
    <row r="40" spans="1:60">
      <c r="H40" s="25" t="s">
        <v>597</v>
      </c>
    </row>
    <row r="41" spans="1:60">
      <c r="H41" s="25" t="s">
        <v>598</v>
      </c>
    </row>
    <row r="42" spans="1:60">
      <c r="H42" s="25" t="s">
        <v>260</v>
      </c>
    </row>
    <row r="43" spans="1:60">
      <c r="H43" s="25" t="s">
        <v>248</v>
      </c>
    </row>
    <row r="44" spans="1:60">
      <c r="I44" s="105" t="s">
        <v>250</v>
      </c>
      <c r="J44" s="25" t="s">
        <v>252</v>
      </c>
      <c r="K44" s="27" t="s">
        <v>251</v>
      </c>
    </row>
    <row r="45" spans="1:60">
      <c r="I45" s="25">
        <v>0.125</v>
      </c>
      <c r="J45" s="104">
        <v>0</v>
      </c>
      <c r="K45" s="103">
        <v>5</v>
      </c>
    </row>
    <row r="46" spans="1:60">
      <c r="I46" s="25">
        <v>0.12516203703703704</v>
      </c>
      <c r="J46" s="104">
        <v>0</v>
      </c>
      <c r="K46" s="103">
        <v>5</v>
      </c>
    </row>
    <row r="47" spans="1:60">
      <c r="I47" s="25">
        <v>0.125173611111111</v>
      </c>
      <c r="J47" s="104">
        <v>0</v>
      </c>
      <c r="K47" s="103">
        <v>5</v>
      </c>
    </row>
    <row r="48" spans="1:60">
      <c r="I48" s="25">
        <v>0.12518518518518501</v>
      </c>
      <c r="J48" s="104">
        <v>0.1</v>
      </c>
      <c r="K48" s="103">
        <v>4.9000000000000004</v>
      </c>
    </row>
    <row r="49" spans="8:11">
      <c r="I49" s="25" t="s">
        <v>600</v>
      </c>
      <c r="J49" s="104"/>
      <c r="K49" s="103"/>
    </row>
    <row r="50" spans="8:11">
      <c r="I50" s="25" t="s">
        <v>588</v>
      </c>
      <c r="J50" s="104"/>
      <c r="K50" s="103"/>
    </row>
    <row r="51" spans="8:11">
      <c r="I51" s="25">
        <v>0.12534722222222222</v>
      </c>
      <c r="J51" s="104">
        <v>0.1</v>
      </c>
      <c r="K51" s="103">
        <v>4.9000000000000004</v>
      </c>
    </row>
    <row r="52" spans="8:11">
      <c r="I52" s="25" t="s">
        <v>588</v>
      </c>
      <c r="J52" s="104"/>
      <c r="K52" s="103"/>
    </row>
    <row r="53" spans="8:11">
      <c r="I53" s="25">
        <v>0.12552083333333333</v>
      </c>
      <c r="J53" s="104">
        <v>0.1</v>
      </c>
      <c r="K53" s="103">
        <v>4.9000000000000004</v>
      </c>
    </row>
    <row r="54" spans="8:11">
      <c r="I54" s="25">
        <v>0.12553240740740743</v>
      </c>
      <c r="J54" s="104">
        <v>0.2</v>
      </c>
      <c r="K54" s="103">
        <v>4.8</v>
      </c>
    </row>
    <row r="55" spans="8:11">
      <c r="I55" s="25" t="s">
        <v>588</v>
      </c>
      <c r="J55" s="104"/>
      <c r="K55" s="103"/>
    </row>
    <row r="56" spans="8:11">
      <c r="I56" s="25">
        <v>0.12586805555555555</v>
      </c>
      <c r="J56" s="104">
        <v>0.2</v>
      </c>
      <c r="K56" s="103">
        <v>4.8</v>
      </c>
    </row>
    <row r="57" spans="8:11">
      <c r="I57" s="25">
        <v>0.12587962962962965</v>
      </c>
      <c r="J57" s="104">
        <v>0.3</v>
      </c>
      <c r="K57" s="103">
        <v>4.7</v>
      </c>
    </row>
    <row r="58" spans="8:11">
      <c r="I58" s="25" t="s">
        <v>588</v>
      </c>
    </row>
    <row r="59" spans="8:11">
      <c r="H59" s="25" t="s">
        <v>254</v>
      </c>
    </row>
    <row r="60" spans="8:11">
      <c r="H60" s="25" t="s">
        <v>599</v>
      </c>
    </row>
    <row r="61" spans="8:11">
      <c r="H61" s="25" t="s">
        <v>255</v>
      </c>
    </row>
    <row r="62" spans="8:11">
      <c r="H62" s="25" t="s">
        <v>256</v>
      </c>
    </row>
    <row r="63" spans="8:11">
      <c r="H63" s="25" t="s">
        <v>259</v>
      </c>
    </row>
  </sheetData>
  <phoneticPr fontId="3"/>
  <conditionalFormatting sqref="AS3:AS20 AX3:AX20">
    <cfRule type="cellIs" dxfId="19" priority="1" stopIfTrue="1" operator="lessThanOrEqual">
      <formula>12</formula>
    </cfRule>
  </conditionalFormatting>
  <conditionalFormatting sqref="BH3:BH20 BC3:BC20">
    <cfRule type="cellIs" dxfId="18" priority="2" stopIfTrue="1" operator="lessThanOrEqual">
      <formula>11</formula>
    </cfRule>
  </conditionalFormatting>
  <pageMargins left="0.23" right="0.2" top="0.98399999999999999" bottom="0.98399999999999999" header="0.51200000000000001" footer="0.51200000000000001"/>
  <pageSetup paperSize="9" scale="9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BN63"/>
  <sheetViews>
    <sheetView view="pageBreakPreview" zoomScale="115" zoomScaleNormal="115" zoomScaleSheetLayoutView="115" workbookViewId="0">
      <pane xSplit="2" ySplit="1" topLeftCell="C5" activePane="bottomRight" state="frozen"/>
      <selection pane="topRight" activeCell="C1" sqref="C1"/>
      <selection pane="bottomLeft" activeCell="A2" sqref="A2"/>
      <selection pane="bottomRight" activeCell="AG17" sqref="AG17"/>
    </sheetView>
  </sheetViews>
  <sheetFormatPr defaultRowHeight="13.5"/>
  <cols>
    <col min="1" max="1" width="3.75" style="22" bestFit="1" customWidth="1"/>
    <col min="2" max="2" width="15" style="22" bestFit="1" customWidth="1"/>
    <col min="3" max="3" width="6.625" style="23" customWidth="1"/>
    <col min="4" max="4" width="5.75" style="23" customWidth="1"/>
    <col min="5" max="6" width="8.25" style="24" hidden="1" customWidth="1"/>
    <col min="7" max="7" width="7.875" style="24" hidden="1" customWidth="1"/>
    <col min="8" max="8" width="7.5" style="25" hidden="1" customWidth="1"/>
    <col min="9" max="10" width="7" style="25" hidden="1" customWidth="1"/>
    <col min="11" max="11" width="7.5" style="151" hidden="1" customWidth="1"/>
    <col min="12" max="13" width="7.25" style="24" hidden="1" customWidth="1"/>
    <col min="14" max="14" width="8.125" style="24" hidden="1" customWidth="1"/>
    <col min="15" max="16" width="6.875" style="25" hidden="1" customWidth="1"/>
    <col min="17" max="17" width="7.875" style="25" hidden="1" customWidth="1"/>
    <col min="18" max="18" width="7.75" style="151" hidden="1" customWidth="1"/>
    <col min="19" max="19" width="7.125" style="155" customWidth="1"/>
    <col min="20" max="22" width="7.125" style="152" customWidth="1"/>
    <col min="23" max="34" width="7.125" style="156" customWidth="1"/>
    <col min="35" max="35" width="6.75" style="152" bestFit="1" customWidth="1"/>
    <col min="36" max="36" width="5.75" style="152" bestFit="1" customWidth="1"/>
    <col min="37" max="37" width="19.25" style="22" bestFit="1" customWidth="1"/>
    <col min="38" max="38" width="9" style="22"/>
  </cols>
  <sheetData>
    <row r="1" spans="1:66" s="6" customFormat="1">
      <c r="A1" s="1" t="s">
        <v>87</v>
      </c>
      <c r="B1" s="1" t="s">
        <v>88</v>
      </c>
      <c r="C1" s="8" t="s">
        <v>89</v>
      </c>
      <c r="D1" s="8" t="s">
        <v>228</v>
      </c>
      <c r="E1" s="2" t="s">
        <v>106</v>
      </c>
      <c r="F1" s="2" t="s">
        <v>107</v>
      </c>
      <c r="G1" s="2" t="s">
        <v>108</v>
      </c>
      <c r="H1" s="3" t="s">
        <v>91</v>
      </c>
      <c r="I1" s="3" t="s">
        <v>92</v>
      </c>
      <c r="J1" s="3" t="s">
        <v>239</v>
      </c>
      <c r="K1" s="3" t="s">
        <v>240</v>
      </c>
      <c r="L1" s="2" t="s">
        <v>109</v>
      </c>
      <c r="M1" s="2" t="s">
        <v>110</v>
      </c>
      <c r="N1" s="2" t="s">
        <v>111</v>
      </c>
      <c r="O1" s="3" t="s">
        <v>93</v>
      </c>
      <c r="P1" s="3" t="s">
        <v>94</v>
      </c>
      <c r="Q1" s="3" t="s">
        <v>241</v>
      </c>
      <c r="R1" s="3" t="s">
        <v>242</v>
      </c>
      <c r="S1" s="4" t="s">
        <v>95</v>
      </c>
      <c r="T1" s="5" t="s">
        <v>96</v>
      </c>
      <c r="U1" s="5" t="s">
        <v>0</v>
      </c>
      <c r="V1" s="5" t="s">
        <v>1</v>
      </c>
      <c r="W1" s="133" t="s">
        <v>97</v>
      </c>
      <c r="X1" s="35" t="s">
        <v>2</v>
      </c>
      <c r="Y1" s="35" t="s">
        <v>3</v>
      </c>
      <c r="Z1" s="35" t="s">
        <v>4</v>
      </c>
      <c r="AA1" s="35" t="s">
        <v>214</v>
      </c>
      <c r="AB1" s="35" t="s">
        <v>5</v>
      </c>
      <c r="AC1" s="133" t="s">
        <v>6</v>
      </c>
      <c r="AD1" s="35" t="s">
        <v>7</v>
      </c>
      <c r="AE1" s="35" t="s">
        <v>8</v>
      </c>
      <c r="AF1" s="35" t="s">
        <v>9</v>
      </c>
      <c r="AG1" s="35" t="s">
        <v>10</v>
      </c>
      <c r="AH1" s="35" t="s">
        <v>11</v>
      </c>
      <c r="AI1" s="5" t="s">
        <v>12</v>
      </c>
      <c r="AJ1" s="5" t="s">
        <v>98</v>
      </c>
      <c r="AK1" s="6" t="s">
        <v>105</v>
      </c>
      <c r="AL1" s="6" t="s">
        <v>190</v>
      </c>
      <c r="AM1" s="6" t="s">
        <v>594</v>
      </c>
      <c r="AN1" s="6" t="s">
        <v>291</v>
      </c>
      <c r="AO1" s="6" t="s">
        <v>614</v>
      </c>
      <c r="AP1" s="6" t="s">
        <v>615</v>
      </c>
      <c r="AQ1" s="6" t="s">
        <v>289</v>
      </c>
      <c r="AW1" s="6" t="s">
        <v>288</v>
      </c>
      <c r="BC1" s="6" t="s">
        <v>286</v>
      </c>
      <c r="BI1" s="6" t="s">
        <v>287</v>
      </c>
    </row>
    <row r="2" spans="1:66" s="13" customFormat="1">
      <c r="A2" s="7"/>
      <c r="B2" s="7" t="s">
        <v>603</v>
      </c>
      <c r="C2" s="8"/>
      <c r="D2" s="8"/>
      <c r="E2" s="9"/>
      <c r="F2" s="9"/>
      <c r="G2" s="9"/>
      <c r="H2" s="10"/>
      <c r="I2" s="10"/>
      <c r="J2" s="10"/>
      <c r="K2" s="11"/>
      <c r="L2" s="9"/>
      <c r="M2" s="9"/>
      <c r="N2" s="9"/>
      <c r="O2" s="10"/>
      <c r="P2" s="10"/>
      <c r="Q2" s="10"/>
      <c r="R2" s="11"/>
      <c r="S2" s="12">
        <v>15</v>
      </c>
      <c r="T2" s="12">
        <v>15</v>
      </c>
      <c r="U2" s="12">
        <v>5</v>
      </c>
      <c r="V2" s="12">
        <v>5</v>
      </c>
      <c r="W2" s="36">
        <v>10</v>
      </c>
      <c r="X2" s="36">
        <v>8</v>
      </c>
      <c r="Y2" s="36">
        <v>4</v>
      </c>
      <c r="Z2" s="36">
        <v>5</v>
      </c>
      <c r="AA2" s="36">
        <v>2</v>
      </c>
      <c r="AB2" s="36">
        <v>7</v>
      </c>
      <c r="AC2" s="36">
        <v>4</v>
      </c>
      <c r="AD2" s="36">
        <v>2</v>
      </c>
      <c r="AE2" s="36">
        <v>6</v>
      </c>
      <c r="AF2" s="36">
        <v>4</v>
      </c>
      <c r="AG2" s="36">
        <v>3</v>
      </c>
      <c r="AH2" s="36">
        <v>5</v>
      </c>
      <c r="AI2" s="12">
        <f>SUM(L2:AH2)</f>
        <v>100</v>
      </c>
      <c r="AJ2" s="32"/>
      <c r="AM2" s="13">
        <v>2</v>
      </c>
      <c r="AN2" s="13">
        <v>5</v>
      </c>
      <c r="AO2" s="13">
        <v>1</v>
      </c>
      <c r="AP2" s="13">
        <v>3</v>
      </c>
      <c r="AQ2" s="13">
        <v>1</v>
      </c>
      <c r="AR2" s="13">
        <v>2</v>
      </c>
      <c r="AS2" s="13">
        <v>3</v>
      </c>
      <c r="AT2" s="13">
        <v>4</v>
      </c>
      <c r="AU2" s="13">
        <v>5</v>
      </c>
      <c r="AV2" s="13" t="s">
        <v>613</v>
      </c>
      <c r="AW2" s="13">
        <v>1</v>
      </c>
      <c r="AX2" s="13">
        <v>2</v>
      </c>
      <c r="AY2" s="13">
        <v>3</v>
      </c>
      <c r="AZ2" s="13">
        <v>4</v>
      </c>
      <c r="BA2" s="13">
        <v>5</v>
      </c>
      <c r="BB2" s="13" t="s">
        <v>613</v>
      </c>
      <c r="BC2" s="13">
        <v>1</v>
      </c>
      <c r="BD2" s="13">
        <v>2</v>
      </c>
      <c r="BE2" s="13">
        <v>3</v>
      </c>
      <c r="BF2" s="13">
        <v>4</v>
      </c>
      <c r="BG2" s="13">
        <v>5</v>
      </c>
      <c r="BH2" s="13" t="s">
        <v>613</v>
      </c>
      <c r="BI2" s="13">
        <v>1</v>
      </c>
      <c r="BJ2" s="13">
        <v>2</v>
      </c>
      <c r="BK2" s="13">
        <v>3</v>
      </c>
      <c r="BL2" s="13">
        <v>4</v>
      </c>
      <c r="BM2" s="13">
        <v>5</v>
      </c>
      <c r="BN2" s="13" t="s">
        <v>613</v>
      </c>
    </row>
    <row r="3" spans="1:66">
      <c r="A3" s="14" t="s">
        <v>99</v>
      </c>
      <c r="B3" s="14" t="s">
        <v>123</v>
      </c>
      <c r="C3" s="101" t="s">
        <v>269</v>
      </c>
      <c r="D3" s="101">
        <v>4</v>
      </c>
      <c r="E3" s="16">
        <v>0.5625</v>
      </c>
      <c r="F3" s="16">
        <v>0.58101851851851849</v>
      </c>
      <c r="G3" s="16">
        <v>0.66055555555555556</v>
      </c>
      <c r="H3" s="17">
        <f t="shared" ref="H3:H20" si="0">F3-E3</f>
        <v>1.851851851851849E-2</v>
      </c>
      <c r="I3" s="17">
        <f>H3-MIN(H$3:H$18)</f>
        <v>2.3611111111108141E-3</v>
      </c>
      <c r="J3" s="17">
        <f>G3-E3</f>
        <v>9.8055555555555562E-2</v>
      </c>
      <c r="K3" s="18">
        <v>0.1111111111111111</v>
      </c>
      <c r="L3" s="16">
        <v>0.31319444444444444</v>
      </c>
      <c r="M3" s="16">
        <v>0.33170138888888889</v>
      </c>
      <c r="N3" s="16">
        <v>0.47868055555555555</v>
      </c>
      <c r="O3" s="17">
        <f t="shared" ref="O3:O20" si="1">M3-L3</f>
        <v>1.8506944444444451E-2</v>
      </c>
      <c r="P3" s="17">
        <f t="shared" ref="P3:P17" si="2">O3-MIN(O$3:O$18)</f>
        <v>6.2499999999998668E-4</v>
      </c>
      <c r="Q3" s="17">
        <f t="shared" ref="Q3:Q20" si="3">N3-L3</f>
        <v>0.16548611111111111</v>
      </c>
      <c r="R3" s="18">
        <v>0.18055555555555555</v>
      </c>
      <c r="S3" s="19">
        <f>ROUND(MAX(S$2-I3*60*24*0.5,0),1)</f>
        <v>13.3</v>
      </c>
      <c r="T3" s="19">
        <f t="shared" ref="T3:T20" si="4">ROUND(MAX(T$2-P3*60*24*0.5,0),1)</f>
        <v>14.6</v>
      </c>
      <c r="U3" s="19">
        <f>ROUND(MAX(MIN(U$2+(K3-J3)*60*24*0.2,$U$2),0),1)</f>
        <v>5</v>
      </c>
      <c r="V3" s="19">
        <f>ROUND(MAX(MIN($V$2+(R3-Q3)*60*24*0.2,$V$2),0),1)</f>
        <v>5</v>
      </c>
      <c r="W3" s="37">
        <v>9.6</v>
      </c>
      <c r="X3" s="37">
        <v>8</v>
      </c>
      <c r="Y3" s="37">
        <v>3.9</v>
      </c>
      <c r="Z3" s="37">
        <v>4.8</v>
      </c>
      <c r="AA3" s="37">
        <v>1.8</v>
      </c>
      <c r="AB3" s="37">
        <v>6</v>
      </c>
      <c r="AC3" s="37">
        <v>4</v>
      </c>
      <c r="AD3" s="37">
        <v>2</v>
      </c>
      <c r="AE3" s="37">
        <v>6</v>
      </c>
      <c r="AF3" s="37">
        <v>4</v>
      </c>
      <c r="AG3" s="37">
        <v>3</v>
      </c>
      <c r="AH3" s="37">
        <v>5</v>
      </c>
      <c r="AI3" s="19">
        <f t="shared" ref="AI3:AI19" si="5">SUM(S3:AH3)</f>
        <v>96</v>
      </c>
      <c r="AJ3" s="33">
        <f t="shared" ref="AJ3:AJ9" si="6">RANK(AI3,$AI$3:$AI$9)</f>
        <v>2</v>
      </c>
      <c r="AL3" s="22">
        <f t="shared" ref="AL3:AL9" si="7">RANK(I3,$I$3:$I$9,1)</f>
        <v>2</v>
      </c>
      <c r="AM3">
        <v>1</v>
      </c>
      <c r="AN3">
        <v>5</v>
      </c>
      <c r="AO3" s="43">
        <v>1</v>
      </c>
      <c r="AP3" s="43">
        <v>3</v>
      </c>
      <c r="AQ3" s="127">
        <v>11.7</v>
      </c>
      <c r="AR3" s="127">
        <v>12.75</v>
      </c>
      <c r="AS3" s="127">
        <v>10.6</v>
      </c>
      <c r="AT3" s="127">
        <v>13.2</v>
      </c>
      <c r="AU3" s="127"/>
      <c r="AV3" s="150">
        <f t="shared" ref="AV3:AV21" si="8">AVERAGE(AQ3:AU3)</f>
        <v>12.0625</v>
      </c>
      <c r="AW3" s="127">
        <v>13.5</v>
      </c>
      <c r="AX3" s="127">
        <v>12</v>
      </c>
      <c r="AY3" s="127">
        <v>13</v>
      </c>
      <c r="AZ3" s="127">
        <v>11</v>
      </c>
      <c r="BB3" s="121">
        <f t="shared" ref="BB3:BB20" si="9">AVERAGE(AW3:AZ3)</f>
        <v>12.375</v>
      </c>
      <c r="BC3" s="127">
        <v>14.3</v>
      </c>
      <c r="BD3" s="127">
        <v>15.4</v>
      </c>
      <c r="BE3" s="127">
        <v>9.65</v>
      </c>
      <c r="BF3" s="127">
        <v>6.5</v>
      </c>
      <c r="BH3" s="121">
        <f t="shared" ref="BH3:BH20" si="10">AVERAGE(BC3:BF3)</f>
        <v>11.4625</v>
      </c>
      <c r="BI3" s="127">
        <v>15.5</v>
      </c>
      <c r="BJ3" s="127">
        <v>9.5</v>
      </c>
      <c r="BK3" s="127">
        <v>14.5</v>
      </c>
      <c r="BL3" s="127">
        <v>6.5</v>
      </c>
      <c r="BM3" s="127"/>
      <c r="BN3" s="121">
        <f t="shared" ref="BN3:BN20" si="11">AVERAGE(BI3:BL3)</f>
        <v>11.5</v>
      </c>
    </row>
    <row r="4" spans="1:66">
      <c r="A4" s="14" t="s">
        <v>99</v>
      </c>
      <c r="B4" s="14" t="s">
        <v>604</v>
      </c>
      <c r="C4" s="101" t="s">
        <v>270</v>
      </c>
      <c r="D4" s="102">
        <v>4</v>
      </c>
      <c r="E4" s="16">
        <v>0.56319444444444444</v>
      </c>
      <c r="F4" s="16">
        <v>0.58993055555555551</v>
      </c>
      <c r="G4" s="16">
        <v>0.65131944444444445</v>
      </c>
      <c r="H4" s="17">
        <f t="shared" si="0"/>
        <v>2.6736111111111072E-2</v>
      </c>
      <c r="I4" s="17">
        <f t="shared" ref="I4:I17" si="12">H4-MIN(H$3:H$18)</f>
        <v>1.0578703703703396E-2</v>
      </c>
      <c r="J4" s="17">
        <f t="shared" ref="J4:J20" si="13">G4-E4</f>
        <v>8.8125000000000009E-2</v>
      </c>
      <c r="K4" s="18">
        <v>0.1111111111111111</v>
      </c>
      <c r="L4" s="16">
        <v>0.31458333333333333</v>
      </c>
      <c r="M4" s="16">
        <v>0.34138888888888891</v>
      </c>
      <c r="N4" s="16">
        <v>0.47771990740740744</v>
      </c>
      <c r="O4" s="17">
        <f t="shared" si="1"/>
        <v>2.6805555555555582E-2</v>
      </c>
      <c r="P4" s="17">
        <f t="shared" si="2"/>
        <v>8.9236111111111183E-3</v>
      </c>
      <c r="Q4" s="17">
        <f t="shared" si="3"/>
        <v>0.16313657407407411</v>
      </c>
      <c r="R4" s="18">
        <v>0.18055555555555555</v>
      </c>
      <c r="S4" s="19">
        <f t="shared" ref="S4:S18" si="14">ROUND(MAX(S$2-I4*60*24*0.5,0),1)</f>
        <v>7.4</v>
      </c>
      <c r="T4" s="19">
        <f t="shared" si="4"/>
        <v>8.6</v>
      </c>
      <c r="U4" s="19">
        <f t="shared" ref="U4:U20" si="15">ROUND(MAX(MIN(U$2+(K4-J4)*60*24*0.2,$U$2),0),1)</f>
        <v>5</v>
      </c>
      <c r="V4" s="19">
        <f t="shared" ref="V4:V20" si="16">ROUND(MAX(MIN($V$2+(R4-Q4)*60*24*0.2,$V$2),0),1)</f>
        <v>5</v>
      </c>
      <c r="W4" s="37">
        <v>10</v>
      </c>
      <c r="X4" s="37">
        <v>7.8</v>
      </c>
      <c r="Y4" s="37">
        <v>3.9</v>
      </c>
      <c r="Z4" s="37">
        <v>2.2999999999999998</v>
      </c>
      <c r="AA4" s="37">
        <v>1.1000000000000001</v>
      </c>
      <c r="AB4" s="37">
        <v>1</v>
      </c>
      <c r="AC4" s="37">
        <v>2.6</v>
      </c>
      <c r="AD4" s="37">
        <v>1.8</v>
      </c>
      <c r="AE4" s="37">
        <v>5.6</v>
      </c>
      <c r="AF4" s="37">
        <v>2.2000000000000002</v>
      </c>
      <c r="AG4" s="37">
        <v>3</v>
      </c>
      <c r="AH4" s="37">
        <v>3</v>
      </c>
      <c r="AI4" s="19">
        <f t="shared" si="5"/>
        <v>70.3</v>
      </c>
      <c r="AJ4" s="33">
        <f t="shared" si="6"/>
        <v>5</v>
      </c>
      <c r="AL4" s="22">
        <f t="shared" si="7"/>
        <v>4</v>
      </c>
      <c r="AM4">
        <v>0</v>
      </c>
      <c r="AN4">
        <v>1</v>
      </c>
      <c r="AO4" s="43">
        <v>0.2</v>
      </c>
      <c r="AP4" s="43">
        <v>2</v>
      </c>
      <c r="AQ4" s="127">
        <v>11.85</v>
      </c>
      <c r="AR4" s="127">
        <v>12.55</v>
      </c>
      <c r="AS4" s="127">
        <v>12.2</v>
      </c>
      <c r="AT4" s="127">
        <v>13</v>
      </c>
      <c r="AU4" s="127"/>
      <c r="AV4" s="150">
        <f t="shared" si="8"/>
        <v>12.399999999999999</v>
      </c>
      <c r="AW4" s="127">
        <v>13</v>
      </c>
      <c r="AX4" s="127">
        <v>13</v>
      </c>
      <c r="AY4" s="127">
        <v>12</v>
      </c>
      <c r="AZ4" s="127">
        <v>12</v>
      </c>
      <c r="BB4" s="121">
        <f t="shared" si="9"/>
        <v>12.5</v>
      </c>
      <c r="BC4" s="127">
        <v>12.1</v>
      </c>
      <c r="BD4" s="127">
        <v>9.85</v>
      </c>
      <c r="BE4" s="127">
        <v>11.65</v>
      </c>
      <c r="BF4">
        <v>11.4</v>
      </c>
      <c r="BH4" s="121">
        <f t="shared" si="10"/>
        <v>11.25</v>
      </c>
      <c r="BI4" s="127">
        <v>12</v>
      </c>
      <c r="BJ4" s="127">
        <v>11.6</v>
      </c>
      <c r="BK4" s="127">
        <v>10</v>
      </c>
      <c r="BL4" s="127">
        <v>11.5</v>
      </c>
      <c r="BM4" s="127"/>
      <c r="BN4" s="121">
        <f t="shared" si="11"/>
        <v>11.275</v>
      </c>
    </row>
    <row r="5" spans="1:66">
      <c r="A5" s="14" t="s">
        <v>99</v>
      </c>
      <c r="B5" s="14" t="s">
        <v>15</v>
      </c>
      <c r="C5" s="101" t="s">
        <v>271</v>
      </c>
      <c r="D5" s="101">
        <v>4</v>
      </c>
      <c r="E5" s="16">
        <v>0.56388888888888899</v>
      </c>
      <c r="F5" s="16">
        <v>0.59086805555555555</v>
      </c>
      <c r="G5" s="16">
        <v>0.64115740740740745</v>
      </c>
      <c r="H5" s="17">
        <f t="shared" si="0"/>
        <v>2.6979166666666554E-2</v>
      </c>
      <c r="I5" s="17">
        <f t="shared" si="12"/>
        <v>1.0821759259258878E-2</v>
      </c>
      <c r="J5" s="17">
        <f t="shared" si="13"/>
        <v>7.7268518518518459E-2</v>
      </c>
      <c r="K5" s="18">
        <v>0.1111111111111111</v>
      </c>
      <c r="L5" s="16">
        <v>0.31527777777777777</v>
      </c>
      <c r="M5" s="16">
        <v>0.34243055555555557</v>
      </c>
      <c r="N5" s="16">
        <v>0.46642361111111108</v>
      </c>
      <c r="O5" s="17">
        <f t="shared" si="1"/>
        <v>2.7152777777777803E-2</v>
      </c>
      <c r="P5" s="17">
        <f t="shared" si="2"/>
        <v>9.2708333333333393E-3</v>
      </c>
      <c r="Q5" s="17">
        <f t="shared" si="3"/>
        <v>0.15114583333333331</v>
      </c>
      <c r="R5" s="18">
        <v>0.18055555555555555</v>
      </c>
      <c r="S5" s="19">
        <f t="shared" si="14"/>
        <v>7.2</v>
      </c>
      <c r="T5" s="19">
        <f t="shared" si="4"/>
        <v>8.3000000000000007</v>
      </c>
      <c r="U5" s="19">
        <f t="shared" si="15"/>
        <v>5</v>
      </c>
      <c r="V5" s="19">
        <f t="shared" si="16"/>
        <v>5</v>
      </c>
      <c r="W5" s="37">
        <v>8.5</v>
      </c>
      <c r="X5" s="37">
        <v>7.9</v>
      </c>
      <c r="Y5" s="37">
        <v>3</v>
      </c>
      <c r="Z5" s="37">
        <v>2.5</v>
      </c>
      <c r="AA5" s="37">
        <v>1.3</v>
      </c>
      <c r="AB5" s="37">
        <v>4</v>
      </c>
      <c r="AC5" s="37">
        <v>2.6</v>
      </c>
      <c r="AD5" s="37">
        <v>2</v>
      </c>
      <c r="AE5" s="37">
        <v>5.7</v>
      </c>
      <c r="AF5" s="37">
        <v>2.7</v>
      </c>
      <c r="AG5" s="37">
        <v>3</v>
      </c>
      <c r="AH5" s="37">
        <v>5</v>
      </c>
      <c r="AI5" s="19">
        <f t="shared" si="5"/>
        <v>73.7</v>
      </c>
      <c r="AJ5" s="33">
        <f t="shared" si="6"/>
        <v>4</v>
      </c>
      <c r="AL5" s="22">
        <f t="shared" si="7"/>
        <v>5</v>
      </c>
      <c r="AM5">
        <v>1</v>
      </c>
      <c r="AN5">
        <v>3</v>
      </c>
      <c r="AO5" s="43">
        <v>0.7</v>
      </c>
      <c r="AP5" s="43">
        <v>2</v>
      </c>
      <c r="AQ5" s="127">
        <v>12.6</v>
      </c>
      <c r="AR5" s="127">
        <v>14.2</v>
      </c>
      <c r="AS5" s="127">
        <v>13.6</v>
      </c>
      <c r="AT5" s="127">
        <v>12.4</v>
      </c>
      <c r="AU5" s="127"/>
      <c r="AV5" s="150">
        <f t="shared" si="8"/>
        <v>13.2</v>
      </c>
      <c r="AW5" s="127">
        <v>11.5</v>
      </c>
      <c r="AX5" s="127">
        <v>13</v>
      </c>
      <c r="AY5" s="127">
        <v>13</v>
      </c>
      <c r="AZ5" s="127">
        <v>14</v>
      </c>
      <c r="BB5" s="121">
        <f t="shared" si="9"/>
        <v>12.875</v>
      </c>
      <c r="BC5" s="127">
        <v>11.95</v>
      </c>
      <c r="BD5" s="127">
        <v>14.2</v>
      </c>
      <c r="BE5" s="127">
        <v>11.3</v>
      </c>
      <c r="BF5" s="127">
        <v>12.7</v>
      </c>
      <c r="BH5" s="121">
        <f t="shared" si="10"/>
        <v>12.537500000000001</v>
      </c>
      <c r="BI5" s="127">
        <v>12</v>
      </c>
      <c r="BJ5" s="127">
        <v>14</v>
      </c>
      <c r="BK5" s="127">
        <v>12.6</v>
      </c>
      <c r="BL5" s="127">
        <v>11.3</v>
      </c>
      <c r="BM5" s="127"/>
      <c r="BN5" s="121">
        <f t="shared" si="11"/>
        <v>12.475000000000001</v>
      </c>
    </row>
    <row r="6" spans="1:66">
      <c r="A6" s="14" t="s">
        <v>99</v>
      </c>
      <c r="B6" s="14" t="s">
        <v>217</v>
      </c>
      <c r="C6" s="101" t="s">
        <v>272</v>
      </c>
      <c r="D6" s="101">
        <v>4</v>
      </c>
      <c r="E6" s="16">
        <v>0.56458333333333299</v>
      </c>
      <c r="F6" s="16">
        <v>0.58074074074074067</v>
      </c>
      <c r="G6" s="16">
        <v>0.64049768518518524</v>
      </c>
      <c r="H6" s="17">
        <f t="shared" si="0"/>
        <v>1.6157407407407676E-2</v>
      </c>
      <c r="I6" s="17">
        <f t="shared" si="12"/>
        <v>0</v>
      </c>
      <c r="J6" s="17">
        <f t="shared" si="13"/>
        <v>7.5914351851852246E-2</v>
      </c>
      <c r="K6" s="18">
        <v>0.1111111111111111</v>
      </c>
      <c r="L6" s="16">
        <v>0.3125</v>
      </c>
      <c r="M6" s="16">
        <v>0.33038194444444446</v>
      </c>
      <c r="N6" s="16">
        <v>0.47107638888888892</v>
      </c>
      <c r="O6" s="17">
        <f t="shared" si="1"/>
        <v>1.7881944444444464E-2</v>
      </c>
      <c r="P6" s="17">
        <f t="shared" si="2"/>
        <v>0</v>
      </c>
      <c r="Q6" s="17">
        <f t="shared" si="3"/>
        <v>0.15857638888888892</v>
      </c>
      <c r="R6" s="18">
        <v>0.18055555555555555</v>
      </c>
      <c r="S6" s="19">
        <f t="shared" si="14"/>
        <v>15</v>
      </c>
      <c r="T6" s="19">
        <f>ROUND(MAX(T$2-P6*60*24*0.5,0),1)-0.3</f>
        <v>14.7</v>
      </c>
      <c r="U6" s="19">
        <f t="shared" si="15"/>
        <v>5</v>
      </c>
      <c r="V6" s="19">
        <f t="shared" si="16"/>
        <v>5</v>
      </c>
      <c r="W6" s="37">
        <v>10</v>
      </c>
      <c r="X6" s="37">
        <v>8</v>
      </c>
      <c r="Y6" s="37">
        <v>4</v>
      </c>
      <c r="Z6" s="37">
        <v>4.7</v>
      </c>
      <c r="AA6" s="37">
        <v>2</v>
      </c>
      <c r="AB6" s="37">
        <v>7</v>
      </c>
      <c r="AC6" s="37">
        <v>4</v>
      </c>
      <c r="AD6" s="37">
        <v>1.8</v>
      </c>
      <c r="AE6" s="37">
        <v>6</v>
      </c>
      <c r="AF6" s="37">
        <v>4</v>
      </c>
      <c r="AG6" s="37">
        <v>3</v>
      </c>
      <c r="AH6" s="37">
        <v>5</v>
      </c>
      <c r="AI6" s="19">
        <f t="shared" si="5"/>
        <v>99.2</v>
      </c>
      <c r="AJ6" s="33">
        <f t="shared" si="6"/>
        <v>1</v>
      </c>
      <c r="AK6" s="22" t="s">
        <v>622</v>
      </c>
      <c r="AL6" s="22">
        <f t="shared" si="7"/>
        <v>1</v>
      </c>
      <c r="AM6">
        <v>2</v>
      </c>
      <c r="AN6">
        <v>5</v>
      </c>
      <c r="AO6" s="43">
        <v>1</v>
      </c>
      <c r="AP6" s="43">
        <v>3</v>
      </c>
      <c r="AQ6" s="127">
        <v>12.8</v>
      </c>
      <c r="AR6" s="127">
        <v>10.35</v>
      </c>
      <c r="AS6" s="127">
        <v>10.7</v>
      </c>
      <c r="AT6" s="127">
        <v>15.5</v>
      </c>
      <c r="AU6" s="127"/>
      <c r="AV6" s="150">
        <f t="shared" si="8"/>
        <v>12.337499999999999</v>
      </c>
      <c r="AW6" s="127">
        <v>13</v>
      </c>
      <c r="AX6" s="127">
        <v>10</v>
      </c>
      <c r="AY6" s="127">
        <v>11</v>
      </c>
      <c r="AZ6" s="127">
        <v>16</v>
      </c>
      <c r="BB6" s="121">
        <f t="shared" si="9"/>
        <v>12.5</v>
      </c>
      <c r="BC6" s="127">
        <v>11.9</v>
      </c>
      <c r="BD6" s="127">
        <v>13.45</v>
      </c>
      <c r="BE6" s="127">
        <v>10.35</v>
      </c>
      <c r="BF6" s="127">
        <v>8.85</v>
      </c>
      <c r="BH6" s="121">
        <f t="shared" si="10"/>
        <v>11.137500000000001</v>
      </c>
      <c r="BI6" s="127">
        <v>13.7</v>
      </c>
      <c r="BJ6" s="127">
        <v>8.5</v>
      </c>
      <c r="BK6" s="127">
        <v>10</v>
      </c>
      <c r="BL6" s="127">
        <v>11.5</v>
      </c>
      <c r="BM6" s="127"/>
      <c r="BN6" s="121">
        <f t="shared" si="11"/>
        <v>10.925000000000001</v>
      </c>
    </row>
    <row r="7" spans="1:66">
      <c r="A7" s="14" t="s">
        <v>99</v>
      </c>
      <c r="B7" s="14" t="s">
        <v>590</v>
      </c>
      <c r="C7" s="101" t="s">
        <v>273</v>
      </c>
      <c r="D7" s="101">
        <v>4</v>
      </c>
      <c r="E7" s="16">
        <v>0.56527777777777799</v>
      </c>
      <c r="F7" s="16">
        <v>0.59043981481481478</v>
      </c>
      <c r="G7" s="16">
        <v>0.63902777777777775</v>
      </c>
      <c r="H7" s="17">
        <f t="shared" si="0"/>
        <v>2.5162037037036789E-2</v>
      </c>
      <c r="I7" s="17">
        <f t="shared" si="12"/>
        <v>9.0046296296291128E-3</v>
      </c>
      <c r="J7" s="17">
        <f t="shared" si="13"/>
        <v>7.374999999999976E-2</v>
      </c>
      <c r="K7" s="18">
        <v>0.1111111111111111</v>
      </c>
      <c r="L7" s="16">
        <v>0.31388888888888888</v>
      </c>
      <c r="M7" s="16">
        <v>0.33784722222222219</v>
      </c>
      <c r="N7" s="16">
        <v>0.46083333333333337</v>
      </c>
      <c r="O7" s="17">
        <f t="shared" si="1"/>
        <v>2.3958333333333304E-2</v>
      </c>
      <c r="P7" s="17">
        <f t="shared" si="2"/>
        <v>6.0763888888888395E-3</v>
      </c>
      <c r="Q7" s="17">
        <f t="shared" si="3"/>
        <v>0.14694444444444449</v>
      </c>
      <c r="R7" s="18">
        <v>0.18055555555555555</v>
      </c>
      <c r="S7" s="19">
        <f t="shared" si="14"/>
        <v>8.5</v>
      </c>
      <c r="T7" s="19">
        <f t="shared" si="4"/>
        <v>10.6</v>
      </c>
      <c r="U7" s="19">
        <f t="shared" si="15"/>
        <v>5</v>
      </c>
      <c r="V7" s="19">
        <f t="shared" si="16"/>
        <v>5</v>
      </c>
      <c r="W7" s="37">
        <v>9.3000000000000007</v>
      </c>
      <c r="X7" s="37">
        <v>7.8</v>
      </c>
      <c r="Y7" s="37">
        <v>3.8</v>
      </c>
      <c r="Z7" s="37">
        <v>1.7</v>
      </c>
      <c r="AA7" s="37">
        <v>1.2</v>
      </c>
      <c r="AB7" s="37">
        <v>3</v>
      </c>
      <c r="AC7" s="37">
        <v>2.8</v>
      </c>
      <c r="AD7" s="37">
        <v>1.2</v>
      </c>
      <c r="AE7" s="37">
        <v>5.6</v>
      </c>
      <c r="AF7" s="37">
        <v>1.7</v>
      </c>
      <c r="AG7" s="37">
        <v>3</v>
      </c>
      <c r="AH7" s="37">
        <v>5</v>
      </c>
      <c r="AI7" s="19">
        <f t="shared" si="5"/>
        <v>75.2</v>
      </c>
      <c r="AJ7" s="33">
        <f t="shared" si="6"/>
        <v>3</v>
      </c>
      <c r="AL7" s="22">
        <f t="shared" si="7"/>
        <v>3</v>
      </c>
      <c r="AM7">
        <v>1</v>
      </c>
      <c r="AN7">
        <v>2</v>
      </c>
      <c r="AO7" s="43">
        <v>0.2</v>
      </c>
      <c r="AP7" s="43">
        <v>1.5</v>
      </c>
      <c r="AQ7" s="127">
        <v>10.45</v>
      </c>
      <c r="AR7" s="127">
        <v>11.65</v>
      </c>
      <c r="AS7" s="127">
        <v>14</v>
      </c>
      <c r="AT7" s="127">
        <v>15.55</v>
      </c>
      <c r="AU7" s="127"/>
      <c r="AV7" s="150">
        <f t="shared" si="8"/>
        <v>12.912500000000001</v>
      </c>
      <c r="AW7" s="127">
        <v>16</v>
      </c>
      <c r="AX7" s="127">
        <v>14</v>
      </c>
      <c r="AY7" s="127">
        <v>11.5</v>
      </c>
      <c r="AZ7" s="127">
        <v>10.5</v>
      </c>
      <c r="BB7" s="121">
        <f t="shared" si="9"/>
        <v>13</v>
      </c>
      <c r="BC7" s="127">
        <v>12.65</v>
      </c>
      <c r="BD7" s="127">
        <v>13.95</v>
      </c>
      <c r="BE7" s="127">
        <v>10.65</v>
      </c>
      <c r="BF7" s="127">
        <v>9.9</v>
      </c>
      <c r="BH7" s="121">
        <f t="shared" si="10"/>
        <v>11.7875</v>
      </c>
      <c r="BI7" s="127">
        <v>14</v>
      </c>
      <c r="BJ7" s="127">
        <v>12.6</v>
      </c>
      <c r="BK7" s="127">
        <v>10.5</v>
      </c>
      <c r="BL7" s="127">
        <v>10</v>
      </c>
      <c r="BM7" s="127"/>
      <c r="BN7" s="121">
        <f t="shared" si="11"/>
        <v>11.775</v>
      </c>
    </row>
    <row r="8" spans="1:66">
      <c r="A8" s="14" t="s">
        <v>99</v>
      </c>
      <c r="B8" s="14" t="s">
        <v>605</v>
      </c>
      <c r="C8" s="101" t="s">
        <v>274</v>
      </c>
      <c r="D8" s="101">
        <v>4</v>
      </c>
      <c r="E8" s="16">
        <v>0.56597222222222199</v>
      </c>
      <c r="F8" s="16">
        <v>0.59994212962962956</v>
      </c>
      <c r="G8" s="16">
        <v>0.65119212962962958</v>
      </c>
      <c r="H8" s="17">
        <f t="shared" si="0"/>
        <v>3.3969907407407574E-2</v>
      </c>
      <c r="I8" s="17">
        <f t="shared" si="12"/>
        <v>1.7812499999999898E-2</v>
      </c>
      <c r="J8" s="17">
        <f t="shared" si="13"/>
        <v>8.5219907407407591E-2</v>
      </c>
      <c r="K8" s="18">
        <v>0.1111111111111111</v>
      </c>
      <c r="L8" s="16">
        <v>0.31319444444444444</v>
      </c>
      <c r="M8" s="16">
        <v>0.34874999999999995</v>
      </c>
      <c r="N8" s="16">
        <v>0.46017361111111116</v>
      </c>
      <c r="O8" s="17">
        <f t="shared" si="1"/>
        <v>3.5555555555555507E-2</v>
      </c>
      <c r="P8" s="17">
        <f t="shared" si="2"/>
        <v>1.7673611111111043E-2</v>
      </c>
      <c r="Q8" s="17">
        <f t="shared" si="3"/>
        <v>0.14697916666666672</v>
      </c>
      <c r="R8" s="18">
        <v>0.18055555555555555</v>
      </c>
      <c r="S8" s="19">
        <f t="shared" si="14"/>
        <v>2.2000000000000002</v>
      </c>
      <c r="T8" s="19">
        <f t="shared" si="4"/>
        <v>2.2999999999999998</v>
      </c>
      <c r="U8" s="19">
        <f t="shared" si="15"/>
        <v>5</v>
      </c>
      <c r="V8" s="19">
        <f t="shared" si="16"/>
        <v>5</v>
      </c>
      <c r="W8" s="37">
        <v>5.8</v>
      </c>
      <c r="X8" s="37">
        <v>6.9</v>
      </c>
      <c r="Y8" s="37">
        <v>3.4</v>
      </c>
      <c r="Z8" s="37">
        <v>0</v>
      </c>
      <c r="AA8" s="37">
        <v>1</v>
      </c>
      <c r="AB8" s="37">
        <v>2</v>
      </c>
      <c r="AC8" s="37">
        <v>3.2</v>
      </c>
      <c r="AD8" s="37">
        <v>1.2</v>
      </c>
      <c r="AE8" s="37">
        <v>2.4</v>
      </c>
      <c r="AF8" s="37">
        <v>1</v>
      </c>
      <c r="AG8" s="37">
        <v>2</v>
      </c>
      <c r="AH8" s="37">
        <v>4.5</v>
      </c>
      <c r="AI8" s="19">
        <f t="shared" si="5"/>
        <v>47.900000000000006</v>
      </c>
      <c r="AJ8" s="33">
        <f t="shared" si="6"/>
        <v>7</v>
      </c>
      <c r="AL8" s="22">
        <f t="shared" si="7"/>
        <v>7</v>
      </c>
      <c r="AM8">
        <v>1</v>
      </c>
      <c r="AN8">
        <v>1</v>
      </c>
      <c r="AO8" s="43">
        <v>0</v>
      </c>
      <c r="AP8" s="43">
        <v>1</v>
      </c>
      <c r="AQ8" s="127">
        <v>11.5</v>
      </c>
      <c r="AR8" s="127">
        <v>15</v>
      </c>
      <c r="AS8" s="127">
        <v>14.8</v>
      </c>
      <c r="AT8" s="127">
        <v>14</v>
      </c>
      <c r="AU8" s="127"/>
      <c r="AV8" s="150">
        <f t="shared" si="8"/>
        <v>13.824999999999999</v>
      </c>
      <c r="AW8" s="127">
        <v>11</v>
      </c>
      <c r="AX8" s="127">
        <v>15</v>
      </c>
      <c r="AY8" s="127">
        <v>14.5</v>
      </c>
      <c r="AZ8" s="127">
        <v>14</v>
      </c>
      <c r="BB8" s="121">
        <f t="shared" si="9"/>
        <v>13.625</v>
      </c>
      <c r="BC8" s="127">
        <v>11.3</v>
      </c>
      <c r="BD8" s="127">
        <v>14.1</v>
      </c>
      <c r="BE8" s="127">
        <v>14.25</v>
      </c>
      <c r="BF8" s="127">
        <v>11.25</v>
      </c>
      <c r="BH8" s="121">
        <f t="shared" si="10"/>
        <v>12.725</v>
      </c>
      <c r="BI8" s="127">
        <v>11</v>
      </c>
      <c r="BJ8" s="127">
        <v>11.4</v>
      </c>
      <c r="BK8" s="127">
        <v>14</v>
      </c>
      <c r="BL8" s="127">
        <v>14</v>
      </c>
      <c r="BM8" s="127"/>
      <c r="BN8" s="121">
        <f t="shared" si="11"/>
        <v>12.6</v>
      </c>
    </row>
    <row r="9" spans="1:66" ht="14.25" thickBot="1">
      <c r="A9" s="62" t="s">
        <v>99</v>
      </c>
      <c r="B9" s="62" t="s">
        <v>182</v>
      </c>
      <c r="C9" s="110" t="s">
        <v>275</v>
      </c>
      <c r="D9" s="110">
        <v>4</v>
      </c>
      <c r="E9" s="64">
        <v>0.56666666666666698</v>
      </c>
      <c r="F9" s="64">
        <v>0.5995949074074074</v>
      </c>
      <c r="G9" s="64">
        <v>0.65336805555555555</v>
      </c>
      <c r="H9" s="65">
        <f t="shared" si="0"/>
        <v>3.2928240740740411E-2</v>
      </c>
      <c r="I9" s="65">
        <f t="shared" si="12"/>
        <v>1.6770833333332735E-2</v>
      </c>
      <c r="J9" s="65">
        <f t="shared" si="13"/>
        <v>8.6701388888888564E-2</v>
      </c>
      <c r="K9" s="66">
        <v>0.1111111111111111</v>
      </c>
      <c r="L9" s="64">
        <v>0.31597222222222221</v>
      </c>
      <c r="M9" s="64">
        <v>0.3463310185185185</v>
      </c>
      <c r="N9" s="64">
        <v>0.4546412037037037</v>
      </c>
      <c r="O9" s="65">
        <f t="shared" si="1"/>
        <v>3.0358796296296287E-2</v>
      </c>
      <c r="P9" s="65">
        <f t="shared" si="2"/>
        <v>1.2476851851851822E-2</v>
      </c>
      <c r="Q9" s="65">
        <f t="shared" si="3"/>
        <v>0.13866898148148149</v>
      </c>
      <c r="R9" s="66">
        <v>0.18055555555555555</v>
      </c>
      <c r="S9" s="67">
        <f t="shared" si="14"/>
        <v>2.9</v>
      </c>
      <c r="T9" s="67">
        <f t="shared" si="4"/>
        <v>6</v>
      </c>
      <c r="U9" s="67">
        <f t="shared" si="15"/>
        <v>5</v>
      </c>
      <c r="V9" s="67">
        <f t="shared" si="16"/>
        <v>5</v>
      </c>
      <c r="W9" s="68">
        <v>8.5</v>
      </c>
      <c r="X9" s="68">
        <v>7.6</v>
      </c>
      <c r="Y9" s="68">
        <v>3.4</v>
      </c>
      <c r="Z9" s="68">
        <v>1.8</v>
      </c>
      <c r="AA9" s="68">
        <v>1.6</v>
      </c>
      <c r="AB9" s="68">
        <v>3</v>
      </c>
      <c r="AC9" s="68">
        <v>3.4</v>
      </c>
      <c r="AD9" s="68">
        <v>1.8</v>
      </c>
      <c r="AE9" s="68">
        <v>3.9</v>
      </c>
      <c r="AF9" s="68">
        <v>1.2</v>
      </c>
      <c r="AG9" s="68">
        <v>3</v>
      </c>
      <c r="AH9" s="68">
        <v>4.5</v>
      </c>
      <c r="AI9" s="67">
        <f t="shared" si="5"/>
        <v>62.599999999999994</v>
      </c>
      <c r="AJ9" s="111">
        <f t="shared" si="6"/>
        <v>6</v>
      </c>
      <c r="AL9" s="22">
        <f t="shared" si="7"/>
        <v>6</v>
      </c>
      <c r="AM9">
        <v>1</v>
      </c>
      <c r="AN9">
        <v>2</v>
      </c>
      <c r="AO9" s="43">
        <v>0.2</v>
      </c>
      <c r="AP9" s="43">
        <v>1</v>
      </c>
      <c r="AQ9" s="127">
        <v>14.7</v>
      </c>
      <c r="AR9" s="127">
        <v>14.65</v>
      </c>
      <c r="AS9" s="127">
        <v>13.15</v>
      </c>
      <c r="AT9" s="127">
        <v>17.2</v>
      </c>
      <c r="AU9" s="127"/>
      <c r="AV9" s="150">
        <f t="shared" si="8"/>
        <v>14.925000000000001</v>
      </c>
      <c r="AW9" s="127">
        <v>14.5</v>
      </c>
      <c r="AX9" s="127">
        <v>15</v>
      </c>
      <c r="AY9" s="127">
        <v>13.5</v>
      </c>
      <c r="AZ9" s="127">
        <v>17</v>
      </c>
      <c r="BB9" s="121">
        <f t="shared" si="9"/>
        <v>15</v>
      </c>
      <c r="BC9" s="127">
        <v>12.25</v>
      </c>
      <c r="BD9" s="127">
        <v>12.7</v>
      </c>
      <c r="BE9" s="127">
        <v>11.55</v>
      </c>
      <c r="BF9" s="127">
        <v>14.7</v>
      </c>
      <c r="BH9" s="121">
        <f t="shared" si="10"/>
        <v>12.8</v>
      </c>
      <c r="BI9" s="127">
        <v>12.5</v>
      </c>
      <c r="BJ9" s="127">
        <v>13.1</v>
      </c>
      <c r="BK9" s="127">
        <v>11.5</v>
      </c>
      <c r="BL9" s="127">
        <v>15.9</v>
      </c>
      <c r="BM9" s="127"/>
      <c r="BN9" s="121">
        <f t="shared" si="11"/>
        <v>13.25</v>
      </c>
    </row>
    <row r="10" spans="1:66">
      <c r="A10" s="44" t="s">
        <v>100</v>
      </c>
      <c r="B10" s="44" t="s">
        <v>230</v>
      </c>
      <c r="C10" s="107" t="s">
        <v>261</v>
      </c>
      <c r="D10" s="107">
        <v>4</v>
      </c>
      <c r="E10" s="46">
        <v>0.57291666666666663</v>
      </c>
      <c r="F10" s="46">
        <v>0.5954976851851852</v>
      </c>
      <c r="G10" s="46">
        <v>0.65026620370370369</v>
      </c>
      <c r="H10" s="47">
        <f t="shared" si="0"/>
        <v>2.258101851851857E-2</v>
      </c>
      <c r="I10" s="47">
        <f t="shared" si="12"/>
        <v>6.423611111110894E-3</v>
      </c>
      <c r="J10" s="47">
        <f t="shared" si="13"/>
        <v>7.7349537037037064E-2</v>
      </c>
      <c r="K10" s="48">
        <v>0.1111111111111111</v>
      </c>
      <c r="L10" s="46">
        <v>0.31805555555555554</v>
      </c>
      <c r="M10" s="46">
        <v>0.34069444444444441</v>
      </c>
      <c r="N10" s="46">
        <v>0.47849537037037032</v>
      </c>
      <c r="O10" s="47">
        <f t="shared" si="1"/>
        <v>2.2638888888888875E-2</v>
      </c>
      <c r="P10" s="47">
        <f t="shared" si="2"/>
        <v>4.7569444444444109E-3</v>
      </c>
      <c r="Q10" s="47">
        <f t="shared" si="3"/>
        <v>0.16043981481481479</v>
      </c>
      <c r="R10" s="48">
        <v>0.18055555555555555</v>
      </c>
      <c r="S10" s="49">
        <f t="shared" si="14"/>
        <v>10.4</v>
      </c>
      <c r="T10" s="49">
        <f t="shared" si="4"/>
        <v>11.6</v>
      </c>
      <c r="U10" s="49">
        <f t="shared" si="15"/>
        <v>5</v>
      </c>
      <c r="V10" s="49">
        <f t="shared" si="16"/>
        <v>5</v>
      </c>
      <c r="W10" s="50">
        <v>8.8000000000000007</v>
      </c>
      <c r="X10" s="50">
        <v>7.6</v>
      </c>
      <c r="Y10" s="50">
        <v>4</v>
      </c>
      <c r="Z10" s="50">
        <v>3.3</v>
      </c>
      <c r="AA10" s="50">
        <v>1.8</v>
      </c>
      <c r="AB10" s="50">
        <v>4</v>
      </c>
      <c r="AC10" s="50">
        <v>3</v>
      </c>
      <c r="AD10" s="50">
        <v>2</v>
      </c>
      <c r="AE10" s="50">
        <v>5.4</v>
      </c>
      <c r="AF10" s="50">
        <v>2.5</v>
      </c>
      <c r="AG10" s="50">
        <v>3</v>
      </c>
      <c r="AH10" s="50">
        <v>5</v>
      </c>
      <c r="AI10" s="49">
        <f t="shared" si="5"/>
        <v>82.4</v>
      </c>
      <c r="AJ10" s="51">
        <f>RANK(AI10,$AI$10:$AI$18)</f>
        <v>4</v>
      </c>
      <c r="AL10" s="22">
        <f t="shared" ref="AL10:AL18" si="17">RANK(I10,$I$10:$I$18,1)</f>
        <v>2</v>
      </c>
      <c r="AM10">
        <v>2</v>
      </c>
      <c r="AN10">
        <v>2</v>
      </c>
      <c r="AO10" s="43">
        <v>0.5</v>
      </c>
      <c r="AP10" s="43">
        <v>2</v>
      </c>
      <c r="AQ10" s="149">
        <v>12.45</v>
      </c>
      <c r="AR10" s="149">
        <v>12.35</v>
      </c>
      <c r="AS10" s="149">
        <v>12.35</v>
      </c>
      <c r="AT10" s="149">
        <v>11.95</v>
      </c>
      <c r="AU10" s="127"/>
      <c r="AV10" s="150">
        <f t="shared" si="8"/>
        <v>12.274999999999999</v>
      </c>
      <c r="AW10" s="149">
        <v>12.5</v>
      </c>
      <c r="AX10" s="149">
        <v>14.5</v>
      </c>
      <c r="AY10" s="149">
        <v>11</v>
      </c>
      <c r="AZ10" s="127">
        <v>11.5</v>
      </c>
      <c r="BB10" s="121">
        <f t="shared" si="9"/>
        <v>12.375</v>
      </c>
      <c r="BC10" s="149">
        <v>12.1</v>
      </c>
      <c r="BD10" s="149">
        <v>9.3000000000000007</v>
      </c>
      <c r="BE10" s="149">
        <v>10.4</v>
      </c>
      <c r="BF10" s="127">
        <v>13.35</v>
      </c>
      <c r="BH10" s="121">
        <f t="shared" si="10"/>
        <v>11.2875</v>
      </c>
      <c r="BI10" s="149">
        <v>12</v>
      </c>
      <c r="BJ10" s="149">
        <v>9.4</v>
      </c>
      <c r="BK10" s="149">
        <v>10.5</v>
      </c>
      <c r="BL10" s="149">
        <v>13.5</v>
      </c>
      <c r="BM10" s="127"/>
      <c r="BN10" s="121">
        <f t="shared" si="11"/>
        <v>11.35</v>
      </c>
    </row>
    <row r="11" spans="1:66">
      <c r="A11" s="14" t="s">
        <v>100</v>
      </c>
      <c r="B11" s="14" t="s">
        <v>220</v>
      </c>
      <c r="C11" s="101" t="s">
        <v>262</v>
      </c>
      <c r="D11" s="101">
        <v>5</v>
      </c>
      <c r="E11" s="16">
        <v>0.57361111111111118</v>
      </c>
      <c r="F11" s="16">
        <v>0.59347222222222229</v>
      </c>
      <c r="G11" s="16">
        <v>0.63839120370370372</v>
      </c>
      <c r="H11" s="17">
        <f t="shared" si="0"/>
        <v>1.9861111111111107E-2</v>
      </c>
      <c r="I11" s="17">
        <f t="shared" si="12"/>
        <v>3.7037037037034315E-3</v>
      </c>
      <c r="J11" s="17">
        <f t="shared" si="13"/>
        <v>6.4780092592592542E-2</v>
      </c>
      <c r="K11" s="18">
        <v>0.1111111111111111</v>
      </c>
      <c r="L11" s="16">
        <v>0.31736111111111115</v>
      </c>
      <c r="M11" s="16">
        <v>0.33855324074074072</v>
      </c>
      <c r="N11" s="16">
        <v>0.44701388888888888</v>
      </c>
      <c r="O11" s="17">
        <f t="shared" si="1"/>
        <v>2.1192129629629575E-2</v>
      </c>
      <c r="P11" s="17">
        <f t="shared" si="2"/>
        <v>3.3101851851851105E-3</v>
      </c>
      <c r="Q11" s="17">
        <f t="shared" si="3"/>
        <v>0.12965277777777773</v>
      </c>
      <c r="R11" s="18">
        <v>0.18055555555555555</v>
      </c>
      <c r="S11" s="19">
        <f t="shared" si="14"/>
        <v>12.3</v>
      </c>
      <c r="T11" s="19">
        <f t="shared" si="4"/>
        <v>12.6</v>
      </c>
      <c r="U11" s="19">
        <f t="shared" si="15"/>
        <v>5</v>
      </c>
      <c r="V11" s="19">
        <f t="shared" si="16"/>
        <v>5</v>
      </c>
      <c r="W11" s="37">
        <v>10</v>
      </c>
      <c r="X11" s="37">
        <v>8</v>
      </c>
      <c r="Y11" s="37">
        <v>4</v>
      </c>
      <c r="Z11" s="37">
        <v>4.9000000000000004</v>
      </c>
      <c r="AA11" s="37">
        <v>1.6</v>
      </c>
      <c r="AB11" s="37">
        <v>7</v>
      </c>
      <c r="AC11" s="37">
        <v>3.8</v>
      </c>
      <c r="AD11" s="37">
        <v>1.8</v>
      </c>
      <c r="AE11" s="37">
        <v>6</v>
      </c>
      <c r="AF11" s="37">
        <v>4</v>
      </c>
      <c r="AG11" s="37">
        <v>3</v>
      </c>
      <c r="AH11" s="37">
        <v>5</v>
      </c>
      <c r="AI11" s="19">
        <f t="shared" si="5"/>
        <v>94</v>
      </c>
      <c r="AJ11" s="33">
        <f t="shared" ref="AJ11:AJ17" si="18">RANK(AI11,$AI$10:$AI$18)</f>
        <v>1</v>
      </c>
      <c r="AL11" s="22">
        <f t="shared" si="17"/>
        <v>1</v>
      </c>
      <c r="AM11">
        <v>2</v>
      </c>
      <c r="AN11">
        <v>5</v>
      </c>
      <c r="AO11" s="43">
        <v>1</v>
      </c>
      <c r="AP11" s="43">
        <v>3</v>
      </c>
      <c r="AQ11" s="149">
        <v>17.55</v>
      </c>
      <c r="AR11" s="149">
        <v>14.05</v>
      </c>
      <c r="AS11" s="149">
        <v>9.9499999999999993</v>
      </c>
      <c r="AT11" s="149">
        <v>10.25</v>
      </c>
      <c r="AU11" s="149">
        <v>10.55</v>
      </c>
      <c r="AV11" s="150">
        <f t="shared" si="8"/>
        <v>12.469999999999999</v>
      </c>
      <c r="AW11" s="149">
        <v>10</v>
      </c>
      <c r="AX11" s="149">
        <v>18</v>
      </c>
      <c r="AY11" s="149">
        <v>11</v>
      </c>
      <c r="AZ11" s="149">
        <v>14.5</v>
      </c>
      <c r="BA11" s="149">
        <v>10.5</v>
      </c>
      <c r="BB11" s="121">
        <f>AVERAGE(AW11:BA11)</f>
        <v>12.8</v>
      </c>
      <c r="BC11" s="149">
        <v>14</v>
      </c>
      <c r="BD11" s="149">
        <v>10.4</v>
      </c>
      <c r="BE11" s="149">
        <v>13.2</v>
      </c>
      <c r="BF11" s="149">
        <v>8.85</v>
      </c>
      <c r="BG11" s="149">
        <v>10.15</v>
      </c>
      <c r="BH11" s="121">
        <f>AVERAGE(BC11:BG11)</f>
        <v>11.319999999999999</v>
      </c>
      <c r="BI11" s="149">
        <v>14</v>
      </c>
      <c r="BJ11" s="149">
        <v>9</v>
      </c>
      <c r="BK11" s="149">
        <v>13</v>
      </c>
      <c r="BL11" s="149">
        <v>10.199999999999999</v>
      </c>
      <c r="BM11" s="149">
        <v>10.5</v>
      </c>
      <c r="BN11" s="121">
        <f>AVERAGE(BI11:BM11)</f>
        <v>11.34</v>
      </c>
    </row>
    <row r="12" spans="1:66">
      <c r="A12" s="14" t="s">
        <v>100</v>
      </c>
      <c r="B12" s="14" t="s">
        <v>208</v>
      </c>
      <c r="C12" s="101" t="s">
        <v>263</v>
      </c>
      <c r="D12" s="101">
        <v>4</v>
      </c>
      <c r="E12" s="16">
        <v>0.57430555555555596</v>
      </c>
      <c r="F12" s="16">
        <v>0.59887731481481488</v>
      </c>
      <c r="G12" s="16">
        <v>0.66087962962962965</v>
      </c>
      <c r="H12" s="17">
        <f t="shared" si="0"/>
        <v>2.4571759259258918E-2</v>
      </c>
      <c r="I12" s="17">
        <f t="shared" si="12"/>
        <v>8.4143518518512428E-3</v>
      </c>
      <c r="J12" s="17">
        <f t="shared" si="13"/>
        <v>8.6574074074073692E-2</v>
      </c>
      <c r="K12" s="18">
        <v>0.1111111111111111</v>
      </c>
      <c r="L12" s="16">
        <v>0.32083333333333336</v>
      </c>
      <c r="M12" s="16">
        <v>0.34314814814814815</v>
      </c>
      <c r="N12" s="16">
        <v>0.48155092592592591</v>
      </c>
      <c r="O12" s="17">
        <f t="shared" si="1"/>
        <v>2.2314814814814787E-2</v>
      </c>
      <c r="P12" s="17">
        <f t="shared" si="2"/>
        <v>4.4328703703703232E-3</v>
      </c>
      <c r="Q12" s="17">
        <f t="shared" si="3"/>
        <v>0.16071759259259255</v>
      </c>
      <c r="R12" s="18">
        <v>0.18055555555555555</v>
      </c>
      <c r="S12" s="19">
        <f t="shared" si="14"/>
        <v>8.9</v>
      </c>
      <c r="T12" s="19">
        <f t="shared" si="4"/>
        <v>11.8</v>
      </c>
      <c r="U12" s="19">
        <f t="shared" si="15"/>
        <v>5</v>
      </c>
      <c r="V12" s="19">
        <f t="shared" si="16"/>
        <v>5</v>
      </c>
      <c r="W12" s="37">
        <v>7.6</v>
      </c>
      <c r="X12" s="37">
        <v>8</v>
      </c>
      <c r="Y12" s="37">
        <v>4</v>
      </c>
      <c r="Z12" s="37">
        <v>4.5999999999999996</v>
      </c>
      <c r="AA12" s="37">
        <v>1.8</v>
      </c>
      <c r="AB12" s="37">
        <v>6</v>
      </c>
      <c r="AC12" s="37">
        <v>3</v>
      </c>
      <c r="AD12" s="37">
        <v>1.4</v>
      </c>
      <c r="AE12" s="37">
        <v>5.7</v>
      </c>
      <c r="AF12" s="37">
        <v>2.2000000000000002</v>
      </c>
      <c r="AG12" s="37">
        <v>3</v>
      </c>
      <c r="AH12" s="37">
        <v>5</v>
      </c>
      <c r="AI12" s="19">
        <f t="shared" si="5"/>
        <v>83.000000000000014</v>
      </c>
      <c r="AJ12" s="33">
        <f t="shared" si="18"/>
        <v>3</v>
      </c>
      <c r="AL12" s="22">
        <f t="shared" si="17"/>
        <v>6</v>
      </c>
      <c r="AM12">
        <v>2</v>
      </c>
      <c r="AN12">
        <v>4</v>
      </c>
      <c r="AO12" s="43">
        <v>0.2</v>
      </c>
      <c r="AP12" s="43">
        <v>2</v>
      </c>
      <c r="AQ12" s="149">
        <v>14.3</v>
      </c>
      <c r="AR12" s="149">
        <v>12.55</v>
      </c>
      <c r="AS12" s="149">
        <v>12.4</v>
      </c>
      <c r="AT12" s="149">
        <v>12.05</v>
      </c>
      <c r="AU12" s="149"/>
      <c r="AV12" s="150">
        <f t="shared" si="8"/>
        <v>12.824999999999999</v>
      </c>
      <c r="AW12" s="149">
        <v>14.5</v>
      </c>
      <c r="AX12" s="149">
        <v>12.5</v>
      </c>
      <c r="AY12" s="149">
        <v>12.5</v>
      </c>
      <c r="AZ12" s="149">
        <v>12.5</v>
      </c>
      <c r="BA12" s="81"/>
      <c r="BB12" s="121">
        <f t="shared" si="9"/>
        <v>13</v>
      </c>
      <c r="BC12" s="149">
        <v>13.3</v>
      </c>
      <c r="BD12" s="149">
        <v>10.55</v>
      </c>
      <c r="BE12" s="149">
        <v>11.9</v>
      </c>
      <c r="BF12" s="149">
        <v>11.7</v>
      </c>
      <c r="BG12" s="81"/>
      <c r="BH12" s="121">
        <f t="shared" si="10"/>
        <v>11.862500000000001</v>
      </c>
      <c r="BI12" s="149">
        <v>10.5</v>
      </c>
      <c r="BJ12" s="149">
        <v>12.7</v>
      </c>
      <c r="BK12" s="149">
        <v>11.5</v>
      </c>
      <c r="BL12" s="149">
        <v>11.5</v>
      </c>
      <c r="BM12" s="149"/>
      <c r="BN12" s="121">
        <f t="shared" si="11"/>
        <v>11.55</v>
      </c>
    </row>
    <row r="13" spans="1:66">
      <c r="A13" s="14" t="s">
        <v>100</v>
      </c>
      <c r="B13" s="14" t="s">
        <v>607</v>
      </c>
      <c r="C13" s="101" t="s">
        <v>264</v>
      </c>
      <c r="D13" s="101">
        <v>5</v>
      </c>
      <c r="E13" s="16">
        <v>0.57499999999999996</v>
      </c>
      <c r="F13" s="16">
        <v>0.617650462962963</v>
      </c>
      <c r="G13" s="16">
        <v>0.65861111111111115</v>
      </c>
      <c r="H13" s="17">
        <f>F13-E13</f>
        <v>4.2650462962963043E-2</v>
      </c>
      <c r="I13" s="17">
        <f>H13-MIN(H$3:H$18)</f>
        <v>2.6493055555555367E-2</v>
      </c>
      <c r="J13" s="17">
        <f>G13-E13</f>
        <v>8.3611111111111192E-2</v>
      </c>
      <c r="K13" s="18">
        <v>0.1111111111111111</v>
      </c>
      <c r="L13" s="16">
        <v>0.32291666666666669</v>
      </c>
      <c r="M13" s="16">
        <v>0.35864583333333333</v>
      </c>
      <c r="N13" s="16">
        <v>0.46513888888888894</v>
      </c>
      <c r="O13" s="17">
        <f>M13-L13</f>
        <v>3.5729166666666645E-2</v>
      </c>
      <c r="P13" s="17">
        <f>O13-MIN(O$3:O$18)</f>
        <v>1.7847222222222181E-2</v>
      </c>
      <c r="Q13" s="17">
        <f>N13-L13</f>
        <v>0.14222222222222225</v>
      </c>
      <c r="R13" s="18">
        <v>0.18055555555555555</v>
      </c>
      <c r="S13" s="19">
        <f>ROUND(MAX(S$2-I13*60*24*0.5,0),1)</f>
        <v>0</v>
      </c>
      <c r="T13" s="19">
        <f>ROUND(MAX(T$2-P13*60*24*0.5,0),1)</f>
        <v>2.2000000000000002</v>
      </c>
      <c r="U13" s="19">
        <f>ROUND(MAX(MIN(U$2+(K13-J13)*60*24*0.2,$U$2),0),1)</f>
        <v>5</v>
      </c>
      <c r="V13" s="19">
        <f>ROUND(MAX(MIN($V$2+(R13-Q13)*60*24*0.2,$V$2),0),1)</f>
        <v>5</v>
      </c>
      <c r="W13" s="37">
        <v>5.6</v>
      </c>
      <c r="X13" s="37">
        <v>7.5</v>
      </c>
      <c r="Y13" s="37">
        <v>3.5</v>
      </c>
      <c r="Z13" s="37">
        <v>1.4</v>
      </c>
      <c r="AA13" s="37">
        <v>1</v>
      </c>
      <c r="AB13" s="37">
        <v>2</v>
      </c>
      <c r="AC13" s="37">
        <v>2.6</v>
      </c>
      <c r="AD13" s="37">
        <v>1.4</v>
      </c>
      <c r="AE13" s="37">
        <v>5.0999999999999996</v>
      </c>
      <c r="AF13" s="37">
        <v>1.7</v>
      </c>
      <c r="AG13" s="37">
        <v>3</v>
      </c>
      <c r="AH13" s="37">
        <v>4</v>
      </c>
      <c r="AI13" s="19">
        <f>SUM(S13:AH13)</f>
        <v>51</v>
      </c>
      <c r="AJ13" s="33">
        <f>RANK(AI13,$AI$10:$AI$18)</f>
        <v>8</v>
      </c>
      <c r="AL13" s="22">
        <f>RANK(I13,$I$10:$I$18,1)</f>
        <v>9</v>
      </c>
      <c r="AM13">
        <v>0</v>
      </c>
      <c r="AN13">
        <v>2</v>
      </c>
      <c r="AO13" s="43">
        <v>0.2</v>
      </c>
      <c r="AP13" s="43">
        <v>1.5</v>
      </c>
      <c r="AQ13" s="149">
        <v>13.4</v>
      </c>
      <c r="AR13" s="149">
        <v>12.85</v>
      </c>
      <c r="AS13" s="149">
        <v>13.6</v>
      </c>
      <c r="AT13" s="149">
        <v>13.75</v>
      </c>
      <c r="AU13" s="149">
        <v>12.4</v>
      </c>
      <c r="AV13" s="150">
        <f t="shared" si="8"/>
        <v>13.2</v>
      </c>
      <c r="AW13" s="149">
        <v>12.5</v>
      </c>
      <c r="AX13" s="149">
        <v>13.5</v>
      </c>
      <c r="AY13" s="149">
        <v>13</v>
      </c>
      <c r="AZ13" s="149">
        <v>14</v>
      </c>
      <c r="BA13" s="149">
        <v>12.5</v>
      </c>
      <c r="BB13" s="121">
        <f>AVERAGE(AW13:BA13)</f>
        <v>13.1</v>
      </c>
      <c r="BC13" s="149">
        <v>12.95</v>
      </c>
      <c r="BD13" s="149">
        <v>11.6</v>
      </c>
      <c r="BE13" s="149">
        <v>12.05</v>
      </c>
      <c r="BF13" s="149">
        <v>12.45</v>
      </c>
      <c r="BG13" s="149">
        <v>9.15</v>
      </c>
      <c r="BH13" s="121">
        <f>AVERAGE(BC13:BG13)</f>
        <v>11.639999999999999</v>
      </c>
      <c r="BI13" s="149">
        <v>12.5</v>
      </c>
      <c r="BJ13" s="149">
        <v>11.7</v>
      </c>
      <c r="BK13" s="149">
        <v>11</v>
      </c>
      <c r="BL13" s="149">
        <v>13</v>
      </c>
      <c r="BM13" s="149">
        <v>9</v>
      </c>
      <c r="BN13" s="121">
        <f>AVERAGE(BI13:BM13)</f>
        <v>11.440000000000001</v>
      </c>
    </row>
    <row r="14" spans="1:66">
      <c r="A14" s="14" t="s">
        <v>100</v>
      </c>
      <c r="B14" s="14" t="s">
        <v>210</v>
      </c>
      <c r="C14" s="101" t="s">
        <v>265</v>
      </c>
      <c r="D14" s="101">
        <v>3</v>
      </c>
      <c r="E14" s="16">
        <v>0.57569444444444495</v>
      </c>
      <c r="F14" s="16">
        <v>0.60024305555555557</v>
      </c>
      <c r="G14" s="16">
        <v>0.65616898148148151</v>
      </c>
      <c r="H14" s="17">
        <f>F14-E14</f>
        <v>2.4548611111110619E-2</v>
      </c>
      <c r="I14" s="17">
        <f>H14-MIN(H$3:H$18)</f>
        <v>8.391203703702943E-3</v>
      </c>
      <c r="J14" s="17">
        <f>G14-E14</f>
        <v>8.0474537037036553E-2</v>
      </c>
      <c r="K14" s="18">
        <v>0.1111111111111111</v>
      </c>
      <c r="L14" s="16">
        <v>0.32013888888888892</v>
      </c>
      <c r="M14" s="16">
        <v>0.34502314814814811</v>
      </c>
      <c r="N14" s="16">
        <v>0.4738194444444444</v>
      </c>
      <c r="O14" s="17">
        <f>M14-L14</f>
        <v>2.4884259259259189E-2</v>
      </c>
      <c r="P14" s="17">
        <f>O14-MIN(O$3:O$18)</f>
        <v>7.0023148148147252E-3</v>
      </c>
      <c r="Q14" s="17">
        <f>N14-L14</f>
        <v>0.15368055555555549</v>
      </c>
      <c r="R14" s="18">
        <v>0.18055555555555555</v>
      </c>
      <c r="S14" s="19">
        <f>ROUND(MAX(S$2-I14*60*24*0.5,0),1)</f>
        <v>9</v>
      </c>
      <c r="T14" s="19">
        <f>ROUND(MAX(T$2-P14*60*24*0.5,0),1)</f>
        <v>10</v>
      </c>
      <c r="U14" s="19">
        <f>ROUND(MAX(MIN(U$2+(K14-J14)*60*24*0.2,$U$2),0),1)</f>
        <v>5</v>
      </c>
      <c r="V14" s="19">
        <f>ROUND(MAX(MIN($V$2+(R14-Q14)*60*24*0.2,$V$2),0),1)</f>
        <v>5</v>
      </c>
      <c r="W14" s="37">
        <v>7.6</v>
      </c>
      <c r="X14" s="37">
        <v>7.8</v>
      </c>
      <c r="Y14" s="37">
        <v>2.8</v>
      </c>
      <c r="Z14" s="37">
        <v>0</v>
      </c>
      <c r="AA14" s="37">
        <v>1.3</v>
      </c>
      <c r="AB14" s="37">
        <v>5</v>
      </c>
      <c r="AC14" s="37">
        <v>2.8</v>
      </c>
      <c r="AD14" s="37">
        <v>1.6</v>
      </c>
      <c r="AE14" s="37">
        <v>5.3</v>
      </c>
      <c r="AF14" s="37">
        <v>3</v>
      </c>
      <c r="AG14" s="37">
        <v>3</v>
      </c>
      <c r="AH14" s="37">
        <v>5</v>
      </c>
      <c r="AI14" s="19">
        <f>SUM(S14:AH14)</f>
        <v>74.199999999999989</v>
      </c>
      <c r="AJ14" s="33">
        <f>RANK(AI14,$AI$10:$AI$18)</f>
        <v>5</v>
      </c>
      <c r="AL14" s="22">
        <f>RANK(I14,$I$10:$I$18,1)</f>
        <v>5</v>
      </c>
      <c r="AM14">
        <v>2</v>
      </c>
      <c r="AN14">
        <v>3</v>
      </c>
      <c r="AO14" s="43">
        <v>0.5</v>
      </c>
      <c r="AP14" s="43">
        <v>2.5</v>
      </c>
      <c r="AQ14" s="149">
        <v>12.45</v>
      </c>
      <c r="AR14" s="149">
        <v>12.8</v>
      </c>
      <c r="AS14" s="149">
        <v>13.05</v>
      </c>
      <c r="AT14" s="149"/>
      <c r="AU14" s="149"/>
      <c r="AV14" s="150">
        <f t="shared" si="8"/>
        <v>12.766666666666666</v>
      </c>
      <c r="AW14" s="149">
        <v>13.5</v>
      </c>
      <c r="AX14" s="149">
        <v>13</v>
      </c>
      <c r="AY14" s="149">
        <v>13</v>
      </c>
      <c r="AZ14" s="81"/>
      <c r="BA14" s="81"/>
      <c r="BB14" s="121">
        <f>AVERAGE(AW14:AZ14)</f>
        <v>13.166666666666666</v>
      </c>
      <c r="BC14" s="149">
        <v>12.35</v>
      </c>
      <c r="BD14" s="149">
        <v>10.85</v>
      </c>
      <c r="BE14" s="149">
        <v>12.4</v>
      </c>
      <c r="BF14" s="81"/>
      <c r="BG14" s="81"/>
      <c r="BH14" s="121">
        <f>AVERAGE(BC14:BF14)</f>
        <v>11.866666666666667</v>
      </c>
      <c r="BI14" s="149">
        <v>12</v>
      </c>
      <c r="BJ14" s="149">
        <v>11</v>
      </c>
      <c r="BK14" s="149">
        <v>12.5</v>
      </c>
      <c r="BL14" s="149"/>
      <c r="BM14" s="149"/>
      <c r="BN14" s="121">
        <f>AVERAGE(BI14:BL14)</f>
        <v>11.833333333333334</v>
      </c>
    </row>
    <row r="15" spans="1:66">
      <c r="A15" s="14" t="s">
        <v>100</v>
      </c>
      <c r="B15" s="14" t="s">
        <v>221</v>
      </c>
      <c r="C15" s="101" t="s">
        <v>266</v>
      </c>
      <c r="D15" s="101">
        <v>4</v>
      </c>
      <c r="E15" s="16">
        <v>0.57638888888888895</v>
      </c>
      <c r="F15" s="16">
        <v>0.60035879629629629</v>
      </c>
      <c r="G15" s="16">
        <v>0.66046296296296292</v>
      </c>
      <c r="H15" s="17">
        <f t="shared" si="0"/>
        <v>2.3969907407407343E-2</v>
      </c>
      <c r="I15" s="17">
        <f t="shared" si="12"/>
        <v>7.8124999999996669E-3</v>
      </c>
      <c r="J15" s="17">
        <f t="shared" si="13"/>
        <v>8.4074074074073968E-2</v>
      </c>
      <c r="K15" s="18">
        <v>0.1111111111111111</v>
      </c>
      <c r="L15" s="16">
        <v>0.31875000000000003</v>
      </c>
      <c r="M15" s="16">
        <v>0.34412037037037035</v>
      </c>
      <c r="N15" s="16">
        <v>0.4886226851851852</v>
      </c>
      <c r="O15" s="17">
        <f t="shared" si="1"/>
        <v>2.5370370370370321E-2</v>
      </c>
      <c r="P15" s="17">
        <f t="shared" si="2"/>
        <v>7.4884259259258568E-3</v>
      </c>
      <c r="Q15" s="17">
        <f t="shared" si="3"/>
        <v>0.16987268518518517</v>
      </c>
      <c r="R15" s="18">
        <v>0.18055555555555555</v>
      </c>
      <c r="S15" s="19">
        <f t="shared" si="14"/>
        <v>9.4</v>
      </c>
      <c r="T15" s="19">
        <f t="shared" si="4"/>
        <v>9.6</v>
      </c>
      <c r="U15" s="19">
        <f t="shared" si="15"/>
        <v>5</v>
      </c>
      <c r="V15" s="19">
        <f t="shared" si="16"/>
        <v>5</v>
      </c>
      <c r="W15" s="37">
        <v>10</v>
      </c>
      <c r="X15" s="37">
        <v>7.8</v>
      </c>
      <c r="Y15" s="37">
        <v>4</v>
      </c>
      <c r="Z15" s="37">
        <v>4.0999999999999996</v>
      </c>
      <c r="AA15" s="37">
        <v>1.2</v>
      </c>
      <c r="AB15" s="37">
        <v>7</v>
      </c>
      <c r="AC15" s="37">
        <v>3.8</v>
      </c>
      <c r="AD15" s="37">
        <v>1.8</v>
      </c>
      <c r="AE15" s="37">
        <v>5.6</v>
      </c>
      <c r="AF15" s="37">
        <v>3.7</v>
      </c>
      <c r="AG15" s="37">
        <v>3</v>
      </c>
      <c r="AH15" s="37">
        <v>5</v>
      </c>
      <c r="AI15" s="19">
        <f t="shared" si="5"/>
        <v>86</v>
      </c>
      <c r="AJ15" s="33">
        <f t="shared" si="18"/>
        <v>2</v>
      </c>
      <c r="AL15" s="22">
        <f t="shared" si="17"/>
        <v>3</v>
      </c>
      <c r="AM15">
        <v>2</v>
      </c>
      <c r="AN15">
        <v>5</v>
      </c>
      <c r="AO15" s="43">
        <v>0.7</v>
      </c>
      <c r="AP15" s="43">
        <v>3</v>
      </c>
      <c r="AQ15" s="149">
        <v>9.65</v>
      </c>
      <c r="AR15" s="149">
        <v>12.3</v>
      </c>
      <c r="AS15" s="149">
        <v>15.5</v>
      </c>
      <c r="AT15" s="149">
        <v>12.05</v>
      </c>
      <c r="AU15" s="149"/>
      <c r="AV15" s="150">
        <f t="shared" si="8"/>
        <v>12.375</v>
      </c>
      <c r="AW15" s="149">
        <v>10</v>
      </c>
      <c r="AX15" s="149">
        <v>12.5</v>
      </c>
      <c r="AY15" s="149">
        <v>12.5</v>
      </c>
      <c r="AZ15" s="149">
        <v>16</v>
      </c>
      <c r="BA15" s="81"/>
      <c r="BB15" s="121">
        <f t="shared" si="9"/>
        <v>12.75</v>
      </c>
      <c r="BC15" s="149">
        <v>9.25</v>
      </c>
      <c r="BD15" s="149">
        <v>14.75</v>
      </c>
      <c r="BE15" s="149">
        <v>10.85</v>
      </c>
      <c r="BF15" s="149">
        <v>11.15</v>
      </c>
      <c r="BG15" s="81"/>
      <c r="BH15" s="121">
        <f t="shared" si="10"/>
        <v>11.5</v>
      </c>
      <c r="BI15" s="149">
        <v>15</v>
      </c>
      <c r="BJ15" s="149">
        <v>9.4</v>
      </c>
      <c r="BK15" s="149">
        <v>11</v>
      </c>
      <c r="BL15" s="149">
        <v>11.1</v>
      </c>
      <c r="BM15" s="149"/>
      <c r="BN15" s="121">
        <f t="shared" si="11"/>
        <v>11.625</v>
      </c>
    </row>
    <row r="16" spans="1:66">
      <c r="A16" s="14" t="s">
        <v>100</v>
      </c>
      <c r="B16" s="14" t="s">
        <v>608</v>
      </c>
      <c r="C16" s="101" t="s">
        <v>267</v>
      </c>
      <c r="D16" s="101">
        <v>3</v>
      </c>
      <c r="E16" s="16">
        <v>0.57708333333333395</v>
      </c>
      <c r="F16" s="16">
        <v>0.60415509259259259</v>
      </c>
      <c r="G16" s="16">
        <v>0.66601851851851845</v>
      </c>
      <c r="H16" s="17">
        <f t="shared" si="0"/>
        <v>2.7071759259258643E-2</v>
      </c>
      <c r="I16" s="17">
        <f t="shared" si="12"/>
        <v>1.0914351851850967E-2</v>
      </c>
      <c r="J16" s="17">
        <f t="shared" si="13"/>
        <v>8.8935185185184507E-2</v>
      </c>
      <c r="K16" s="18">
        <v>0.1111111111111111</v>
      </c>
      <c r="L16" s="16">
        <v>0.3215277777777778</v>
      </c>
      <c r="M16" s="16">
        <v>0.35020833333333329</v>
      </c>
      <c r="N16" s="16">
        <v>0.48979166666666668</v>
      </c>
      <c r="O16" s="17">
        <f t="shared" si="1"/>
        <v>2.8680555555555487E-2</v>
      </c>
      <c r="P16" s="17">
        <f t="shared" si="2"/>
        <v>1.0798611111111023E-2</v>
      </c>
      <c r="Q16" s="17">
        <f t="shared" si="3"/>
        <v>0.16826388888888888</v>
      </c>
      <c r="R16" s="18">
        <v>0.18055555555555555</v>
      </c>
      <c r="S16" s="19">
        <f t="shared" si="14"/>
        <v>7.1</v>
      </c>
      <c r="T16" s="19">
        <f t="shared" si="4"/>
        <v>7.2</v>
      </c>
      <c r="U16" s="19">
        <f t="shared" si="15"/>
        <v>5</v>
      </c>
      <c r="V16" s="19">
        <f t="shared" si="16"/>
        <v>5</v>
      </c>
      <c r="W16" s="37">
        <v>7.9</v>
      </c>
      <c r="X16" s="37">
        <v>8</v>
      </c>
      <c r="Y16" s="37">
        <v>3.5</v>
      </c>
      <c r="Z16" s="37">
        <v>0.4</v>
      </c>
      <c r="AA16" s="37">
        <v>1.5</v>
      </c>
      <c r="AB16" s="37">
        <v>4</v>
      </c>
      <c r="AC16" s="37">
        <v>3.2</v>
      </c>
      <c r="AD16" s="37">
        <v>1</v>
      </c>
      <c r="AE16" s="37">
        <v>5.5</v>
      </c>
      <c r="AF16" s="37">
        <v>2</v>
      </c>
      <c r="AG16" s="37">
        <v>3</v>
      </c>
      <c r="AH16" s="37">
        <v>5</v>
      </c>
      <c r="AI16" s="19">
        <f t="shared" si="5"/>
        <v>69.300000000000011</v>
      </c>
      <c r="AJ16" s="33">
        <f t="shared" si="18"/>
        <v>7</v>
      </c>
      <c r="AL16" s="22">
        <f t="shared" si="17"/>
        <v>7</v>
      </c>
      <c r="AM16">
        <v>1</v>
      </c>
      <c r="AN16">
        <v>3</v>
      </c>
      <c r="AO16" s="43">
        <v>0</v>
      </c>
      <c r="AP16" s="43">
        <v>2</v>
      </c>
      <c r="AQ16" s="149">
        <v>15.7</v>
      </c>
      <c r="AR16" s="149">
        <v>14.2</v>
      </c>
      <c r="AS16" s="149">
        <v>13.75</v>
      </c>
      <c r="AT16" s="149"/>
      <c r="AU16" s="127"/>
      <c r="AV16" s="150">
        <f t="shared" si="8"/>
        <v>14.549999999999999</v>
      </c>
      <c r="AW16" s="149">
        <v>14.5</v>
      </c>
      <c r="AX16" s="149">
        <v>14</v>
      </c>
      <c r="AY16" s="149">
        <v>16</v>
      </c>
      <c r="BB16" s="121">
        <f t="shared" si="9"/>
        <v>14.833333333333334</v>
      </c>
      <c r="BC16" s="149">
        <v>11.45</v>
      </c>
      <c r="BD16" s="149">
        <v>12.95</v>
      </c>
      <c r="BE16" s="149">
        <v>15.75</v>
      </c>
      <c r="BH16" s="121">
        <f t="shared" si="10"/>
        <v>13.383333333333333</v>
      </c>
      <c r="BI16" s="149">
        <v>13.8</v>
      </c>
      <c r="BJ16" s="149">
        <v>13</v>
      </c>
      <c r="BK16" s="149">
        <v>13.5</v>
      </c>
      <c r="BL16" s="127"/>
      <c r="BM16" s="127"/>
      <c r="BN16" s="121">
        <f t="shared" si="11"/>
        <v>13.433333333333332</v>
      </c>
    </row>
    <row r="17" spans="1:66">
      <c r="A17" s="14" t="s">
        <v>100</v>
      </c>
      <c r="B17" s="14" t="s">
        <v>138</v>
      </c>
      <c r="C17" s="101" t="s">
        <v>268</v>
      </c>
      <c r="D17" s="101">
        <v>5</v>
      </c>
      <c r="E17" s="16">
        <v>0.57777777777777894</v>
      </c>
      <c r="F17" s="16">
        <v>0.61657407407407405</v>
      </c>
      <c r="G17" s="16">
        <v>0.65658564814814813</v>
      </c>
      <c r="H17" s="17">
        <f t="shared" si="0"/>
        <v>3.8796296296295107E-2</v>
      </c>
      <c r="I17" s="17">
        <f t="shared" si="12"/>
        <v>2.2638888888887432E-2</v>
      </c>
      <c r="J17" s="17">
        <f t="shared" si="13"/>
        <v>7.8807870370369182E-2</v>
      </c>
      <c r="K17" s="18">
        <v>0.1111111111111111</v>
      </c>
      <c r="L17" s="16">
        <v>0.32222222222222224</v>
      </c>
      <c r="M17" s="16">
        <v>0.35675925925925928</v>
      </c>
      <c r="N17" s="16">
        <v>0.47107638888888892</v>
      </c>
      <c r="O17" s="17">
        <f t="shared" si="1"/>
        <v>3.4537037037037033E-2</v>
      </c>
      <c r="P17" s="17">
        <f t="shared" si="2"/>
        <v>1.6655092592592569E-2</v>
      </c>
      <c r="Q17" s="17">
        <f t="shared" si="3"/>
        <v>0.14885416666666668</v>
      </c>
      <c r="R17" s="18">
        <v>0.18055555555555555</v>
      </c>
      <c r="S17" s="19">
        <f t="shared" si="14"/>
        <v>0</v>
      </c>
      <c r="T17" s="19">
        <f t="shared" si="4"/>
        <v>3</v>
      </c>
      <c r="U17" s="19">
        <f t="shared" si="15"/>
        <v>5</v>
      </c>
      <c r="V17" s="19">
        <f t="shared" si="16"/>
        <v>5</v>
      </c>
      <c r="W17" s="37">
        <v>2.5</v>
      </c>
      <c r="X17" s="37">
        <v>7.3</v>
      </c>
      <c r="Y17" s="37">
        <v>2.8</v>
      </c>
      <c r="Z17" s="37">
        <v>0.1</v>
      </c>
      <c r="AA17" s="37">
        <v>1.2</v>
      </c>
      <c r="AB17" s="37">
        <v>2</v>
      </c>
      <c r="AC17" s="37">
        <v>3.4</v>
      </c>
      <c r="AD17" s="37">
        <v>2</v>
      </c>
      <c r="AE17" s="37">
        <v>1.3</v>
      </c>
      <c r="AF17" s="37">
        <v>1.5</v>
      </c>
      <c r="AG17" s="37">
        <v>2</v>
      </c>
      <c r="AH17" s="37">
        <v>5</v>
      </c>
      <c r="AI17" s="19">
        <f t="shared" si="5"/>
        <v>44.1</v>
      </c>
      <c r="AJ17" s="33">
        <f t="shared" si="18"/>
        <v>9</v>
      </c>
      <c r="AL17" s="22">
        <f t="shared" si="17"/>
        <v>8</v>
      </c>
      <c r="AM17">
        <v>1</v>
      </c>
      <c r="AN17">
        <v>1</v>
      </c>
      <c r="AO17" s="43">
        <v>0</v>
      </c>
      <c r="AP17" s="43">
        <v>1.5</v>
      </c>
      <c r="AQ17" s="149">
        <v>14.95</v>
      </c>
      <c r="AR17" s="149">
        <v>10.65</v>
      </c>
      <c r="AS17" s="149">
        <v>10.85</v>
      </c>
      <c r="AT17" s="149">
        <v>10.55</v>
      </c>
      <c r="AU17" s="149">
        <v>14.65</v>
      </c>
      <c r="AV17" s="150">
        <f t="shared" si="8"/>
        <v>12.33</v>
      </c>
      <c r="AW17" s="149">
        <v>13.5</v>
      </c>
      <c r="AX17" s="149">
        <v>12</v>
      </c>
      <c r="AY17" s="149">
        <v>15</v>
      </c>
      <c r="AZ17" s="149">
        <v>18.5</v>
      </c>
      <c r="BA17" s="149">
        <v>15</v>
      </c>
      <c r="BB17" s="121">
        <f>AVERAGE(AW17:BA17)</f>
        <v>14.8</v>
      </c>
      <c r="BC17" s="149">
        <v>11.05</v>
      </c>
      <c r="BD17" s="149">
        <v>12.5</v>
      </c>
      <c r="BE17" s="149">
        <v>10.4</v>
      </c>
      <c r="BF17" s="149">
        <v>10.7</v>
      </c>
      <c r="BG17" s="149">
        <v>14.35</v>
      </c>
      <c r="BH17" s="121">
        <f>AVERAGE(BC17:BG17)</f>
        <v>11.8</v>
      </c>
      <c r="BI17" s="149">
        <v>10.5</v>
      </c>
      <c r="BJ17" s="149">
        <v>12</v>
      </c>
      <c r="BK17" s="149">
        <v>12.5</v>
      </c>
      <c r="BL17" s="149">
        <v>10.6</v>
      </c>
      <c r="BM17" s="149">
        <v>14.5</v>
      </c>
      <c r="BN17" s="121">
        <f>AVERAGE(BI17:BM17)</f>
        <v>12.02</v>
      </c>
    </row>
    <row r="18" spans="1:66" s="22" customFormat="1" ht="14.25" thickBot="1">
      <c r="A18" s="62" t="s">
        <v>100</v>
      </c>
      <c r="B18" s="62" t="s">
        <v>609</v>
      </c>
      <c r="C18" s="110" t="s">
        <v>610</v>
      </c>
      <c r="D18" s="110">
        <v>4</v>
      </c>
      <c r="E18" s="64">
        <v>0.57847222222222305</v>
      </c>
      <c r="F18" s="64">
        <v>0.60266203703703702</v>
      </c>
      <c r="G18" s="64">
        <v>0.66399305555555554</v>
      </c>
      <c r="H18" s="65">
        <f t="shared" si="0"/>
        <v>2.418981481481397E-2</v>
      </c>
      <c r="I18" s="65">
        <f>H18-MIN(H$3:H$18)</f>
        <v>8.0324074074062946E-3</v>
      </c>
      <c r="J18" s="65">
        <f>G18-E18</f>
        <v>8.5520833333332491E-2</v>
      </c>
      <c r="K18" s="66">
        <v>0.1111111111111111</v>
      </c>
      <c r="L18" s="64">
        <v>0.31944444444444448</v>
      </c>
      <c r="M18" s="64">
        <v>0.34767361111111111</v>
      </c>
      <c r="N18" s="64">
        <v>0.48827546296296293</v>
      </c>
      <c r="O18" s="65">
        <f t="shared" si="1"/>
        <v>2.8229166666666639E-2</v>
      </c>
      <c r="P18" s="65">
        <f>O18-MIN(O$3:O$18)</f>
        <v>1.0347222222222174E-2</v>
      </c>
      <c r="Q18" s="65">
        <f t="shared" si="3"/>
        <v>0.16883101851851845</v>
      </c>
      <c r="R18" s="66">
        <v>0.18055555555555555</v>
      </c>
      <c r="S18" s="67">
        <f t="shared" si="14"/>
        <v>9.1999999999999993</v>
      </c>
      <c r="T18" s="67">
        <f t="shared" si="4"/>
        <v>7.6</v>
      </c>
      <c r="U18" s="67">
        <f t="shared" si="15"/>
        <v>5</v>
      </c>
      <c r="V18" s="67">
        <f t="shared" si="16"/>
        <v>5</v>
      </c>
      <c r="W18" s="68">
        <v>8.1999999999999993</v>
      </c>
      <c r="X18" s="68">
        <v>8</v>
      </c>
      <c r="Y18" s="68">
        <v>3.5</v>
      </c>
      <c r="Z18" s="68">
        <v>0.5</v>
      </c>
      <c r="AA18" s="68">
        <v>2</v>
      </c>
      <c r="AB18" s="68">
        <v>3</v>
      </c>
      <c r="AC18" s="68">
        <v>2.4</v>
      </c>
      <c r="AD18" s="68">
        <v>1.6</v>
      </c>
      <c r="AE18" s="68">
        <v>5.7</v>
      </c>
      <c r="AF18" s="68">
        <v>2.5</v>
      </c>
      <c r="AG18" s="68">
        <v>3</v>
      </c>
      <c r="AH18" s="68">
        <v>5</v>
      </c>
      <c r="AI18" s="67">
        <f t="shared" si="5"/>
        <v>72.2</v>
      </c>
      <c r="AJ18" s="111">
        <f>RANK(AI18,$AI$10:$AI$18)</f>
        <v>6</v>
      </c>
      <c r="AL18" s="22">
        <f t="shared" si="17"/>
        <v>4</v>
      </c>
      <c r="AM18" s="22">
        <v>0</v>
      </c>
      <c r="AN18" s="22">
        <v>3</v>
      </c>
      <c r="AO18" s="159">
        <v>0.5</v>
      </c>
      <c r="AP18" s="159">
        <v>2</v>
      </c>
      <c r="AQ18" s="122">
        <v>13.4</v>
      </c>
      <c r="AR18" s="122">
        <v>12.35</v>
      </c>
      <c r="AS18" s="122">
        <v>10</v>
      </c>
      <c r="AT18" s="122">
        <v>12.75</v>
      </c>
      <c r="AU18" s="122"/>
      <c r="AV18" s="153">
        <f t="shared" si="8"/>
        <v>12.125</v>
      </c>
      <c r="AW18" s="149">
        <v>13</v>
      </c>
      <c r="AX18" s="149">
        <v>12.5</v>
      </c>
      <c r="AY18" s="149">
        <v>11.5</v>
      </c>
      <c r="AZ18" s="149">
        <v>13.5</v>
      </c>
      <c r="BB18" s="154">
        <f t="shared" si="9"/>
        <v>12.625</v>
      </c>
      <c r="BC18" s="149">
        <v>11.7</v>
      </c>
      <c r="BD18" s="149">
        <v>10.25</v>
      </c>
      <c r="BE18" s="149">
        <v>12.7</v>
      </c>
      <c r="BF18" s="149">
        <v>12.25</v>
      </c>
      <c r="BH18" s="154">
        <f t="shared" si="10"/>
        <v>11.725</v>
      </c>
      <c r="BI18" s="149">
        <v>12</v>
      </c>
      <c r="BJ18" s="149">
        <v>12</v>
      </c>
      <c r="BK18" s="149">
        <v>12.5</v>
      </c>
      <c r="BL18" s="149">
        <v>10</v>
      </c>
      <c r="BM18" s="122"/>
      <c r="BN18" s="154">
        <f t="shared" si="11"/>
        <v>11.625</v>
      </c>
    </row>
    <row r="19" spans="1:66">
      <c r="A19" s="44" t="s">
        <v>102</v>
      </c>
      <c r="B19" s="44" t="s">
        <v>179</v>
      </c>
      <c r="C19" s="107" t="s">
        <v>277</v>
      </c>
      <c r="D19" s="107">
        <v>4</v>
      </c>
      <c r="E19" s="46">
        <v>0.56736111111111109</v>
      </c>
      <c r="F19" s="46">
        <v>0.60653935185185182</v>
      </c>
      <c r="G19" s="46">
        <v>0.67379629629629623</v>
      </c>
      <c r="H19" s="47">
        <f t="shared" si="0"/>
        <v>3.9178240740740722E-2</v>
      </c>
      <c r="I19" s="47">
        <f>H19-MIN(H$19:H$21)</f>
        <v>5.3124999999999423E-3</v>
      </c>
      <c r="J19" s="47">
        <f t="shared" si="13"/>
        <v>0.10643518518518513</v>
      </c>
      <c r="K19" s="48">
        <v>0.125</v>
      </c>
      <c r="L19" s="46">
        <v>0.32430555555555557</v>
      </c>
      <c r="M19" s="46">
        <v>0.36626157407407406</v>
      </c>
      <c r="N19" s="46">
        <v>0.50564814814814818</v>
      </c>
      <c r="O19" s="47">
        <f>M19-L19</f>
        <v>4.195601851851849E-2</v>
      </c>
      <c r="P19" s="47">
        <f>O19-MIN(O$19:O$21)</f>
        <v>1.0868055555555534E-2</v>
      </c>
      <c r="Q19" s="47">
        <f t="shared" si="3"/>
        <v>0.18134259259259261</v>
      </c>
      <c r="R19" s="48">
        <v>0.20138888888888887</v>
      </c>
      <c r="S19" s="49">
        <f>ROUND(MAX(S$2-I19*60*24*0.5,0),1)</f>
        <v>11.2</v>
      </c>
      <c r="T19" s="49">
        <f>ROUND(MAX(T$2-P19*60*24*0.5,0),1)</f>
        <v>7.2</v>
      </c>
      <c r="U19" s="49">
        <f t="shared" si="15"/>
        <v>5</v>
      </c>
      <c r="V19" s="49">
        <f>ROUND(MAX(MIN($V$2+(R19-Q19)*60*24*0.2,$V$2),0),1)</f>
        <v>5</v>
      </c>
      <c r="W19" s="50">
        <v>9.4</v>
      </c>
      <c r="X19" s="50">
        <v>7</v>
      </c>
      <c r="Y19" s="50">
        <v>4</v>
      </c>
      <c r="Z19" s="50">
        <v>0.7</v>
      </c>
      <c r="AA19" s="50">
        <v>1.1000000000000001</v>
      </c>
      <c r="AB19" s="50">
        <v>1</v>
      </c>
      <c r="AC19" s="50">
        <v>3</v>
      </c>
      <c r="AD19" s="50">
        <v>0.8</v>
      </c>
      <c r="AE19" s="50">
        <v>6</v>
      </c>
      <c r="AF19" s="50">
        <v>3.2</v>
      </c>
      <c r="AG19" s="50">
        <v>3</v>
      </c>
      <c r="AH19" s="50">
        <v>4</v>
      </c>
      <c r="AI19" s="49">
        <f t="shared" si="5"/>
        <v>71.599999999999994</v>
      </c>
      <c r="AJ19" s="51">
        <f>RANK(AI19,$AI$19:$AI$21)</f>
        <v>3</v>
      </c>
      <c r="AL19" s="22">
        <f>RANK(I19,$I$19:$I$21,1)</f>
        <v>2</v>
      </c>
      <c r="AM19" s="81">
        <v>1</v>
      </c>
      <c r="AN19" s="81">
        <v>0</v>
      </c>
      <c r="AO19" s="160">
        <v>0.7</v>
      </c>
      <c r="AP19" s="160">
        <v>2.5</v>
      </c>
      <c r="AQ19" s="149">
        <v>10.6</v>
      </c>
      <c r="AR19" s="149">
        <v>14.35</v>
      </c>
      <c r="AS19" s="149">
        <v>12.85</v>
      </c>
      <c r="AT19" s="149">
        <v>12</v>
      </c>
      <c r="AU19" s="149"/>
      <c r="AV19" s="150">
        <f t="shared" si="8"/>
        <v>12.45</v>
      </c>
      <c r="AW19" s="149">
        <v>14.5</v>
      </c>
      <c r="AX19" s="149">
        <v>10.5</v>
      </c>
      <c r="AY19" s="149">
        <v>13</v>
      </c>
      <c r="AZ19" s="149">
        <v>12</v>
      </c>
      <c r="BA19" s="81"/>
      <c r="BB19" s="121">
        <f t="shared" si="9"/>
        <v>12.5</v>
      </c>
      <c r="BC19" s="149">
        <v>12.55</v>
      </c>
      <c r="BD19" s="149">
        <v>10.9</v>
      </c>
      <c r="BE19" s="149">
        <v>12.1</v>
      </c>
      <c r="BF19" s="149">
        <v>12.25</v>
      </c>
      <c r="BG19" s="81"/>
      <c r="BH19" s="121">
        <f t="shared" si="10"/>
        <v>11.950000000000001</v>
      </c>
      <c r="BI19" s="149">
        <v>10.5</v>
      </c>
      <c r="BJ19" s="149">
        <v>12</v>
      </c>
      <c r="BK19" s="149">
        <v>12</v>
      </c>
      <c r="BL19" s="149">
        <v>12.1</v>
      </c>
      <c r="BM19" s="149"/>
      <c r="BN19" s="121">
        <f t="shared" si="11"/>
        <v>11.65</v>
      </c>
    </row>
    <row r="20" spans="1:66">
      <c r="A20" s="14" t="s">
        <v>102</v>
      </c>
      <c r="B20" s="14" t="s">
        <v>50</v>
      </c>
      <c r="C20" s="101" t="s">
        <v>278</v>
      </c>
      <c r="D20" s="101">
        <v>4</v>
      </c>
      <c r="E20" s="16">
        <v>0.56805555555555554</v>
      </c>
      <c r="F20" s="16">
        <v>0.60811342592592588</v>
      </c>
      <c r="G20" s="16">
        <v>0.6723958333333333</v>
      </c>
      <c r="H20" s="17">
        <f t="shared" si="0"/>
        <v>4.0057870370370341E-2</v>
      </c>
      <c r="I20" s="17">
        <f>H20-MIN(H$19:H$21)</f>
        <v>6.1921296296295614E-3</v>
      </c>
      <c r="J20" s="17">
        <f t="shared" si="13"/>
        <v>0.10434027777777777</v>
      </c>
      <c r="K20" s="18">
        <v>0.125</v>
      </c>
      <c r="L20" s="16">
        <v>0.32500000000000001</v>
      </c>
      <c r="M20" s="16">
        <v>0.35608796296296297</v>
      </c>
      <c r="N20" s="16">
        <v>0.4962037037037037</v>
      </c>
      <c r="O20" s="17">
        <f t="shared" si="1"/>
        <v>3.1087962962962956E-2</v>
      </c>
      <c r="P20" s="17">
        <f>O20-MIN(O$19:O$21)</f>
        <v>0</v>
      </c>
      <c r="Q20" s="17">
        <f t="shared" si="3"/>
        <v>0.17120370370370369</v>
      </c>
      <c r="R20" s="18">
        <v>0.20138888888888887</v>
      </c>
      <c r="S20" s="19">
        <f>ROUND(MAX(S$2-I20*60*24*0.5,0),1)</f>
        <v>10.5</v>
      </c>
      <c r="T20" s="19">
        <f t="shared" si="4"/>
        <v>15</v>
      </c>
      <c r="U20" s="19">
        <f t="shared" si="15"/>
        <v>5</v>
      </c>
      <c r="V20" s="19">
        <f t="shared" si="16"/>
        <v>5</v>
      </c>
      <c r="W20" s="37">
        <v>9.3000000000000007</v>
      </c>
      <c r="X20" s="37">
        <v>8</v>
      </c>
      <c r="Y20" s="37">
        <v>3.3</v>
      </c>
      <c r="Z20" s="37">
        <v>3</v>
      </c>
      <c r="AA20" s="37">
        <v>1.6</v>
      </c>
      <c r="AB20" s="37">
        <v>5.5</v>
      </c>
      <c r="AC20" s="37">
        <v>3.4</v>
      </c>
      <c r="AD20" s="37">
        <v>1.8</v>
      </c>
      <c r="AE20" s="37">
        <v>5.8</v>
      </c>
      <c r="AF20" s="37">
        <v>3</v>
      </c>
      <c r="AG20" s="37">
        <v>3</v>
      </c>
      <c r="AH20" s="37">
        <v>5</v>
      </c>
      <c r="AI20" s="19">
        <f>SUM(S20:AH20)</f>
        <v>88.199999999999989</v>
      </c>
      <c r="AJ20" s="33">
        <f>RANK(AI20,$AI$19:$AI$21)</f>
        <v>1</v>
      </c>
      <c r="AL20" s="22">
        <f>RANK(I20,$I$19:$I$21,1)</f>
        <v>3</v>
      </c>
      <c r="AM20" s="81">
        <v>2</v>
      </c>
      <c r="AN20" s="81">
        <v>3.5</v>
      </c>
      <c r="AO20" s="160">
        <v>0.5</v>
      </c>
      <c r="AP20" s="160">
        <v>2.5</v>
      </c>
      <c r="AQ20" s="149">
        <v>13.4</v>
      </c>
      <c r="AR20" s="149">
        <v>12.35</v>
      </c>
      <c r="AS20" s="149">
        <v>13.3</v>
      </c>
      <c r="AT20" s="149">
        <v>11.9</v>
      </c>
      <c r="AU20" s="149"/>
      <c r="AV20" s="150">
        <f t="shared" si="8"/>
        <v>12.737499999999999</v>
      </c>
      <c r="AW20" s="149">
        <v>12.5</v>
      </c>
      <c r="AX20" s="149">
        <v>13</v>
      </c>
      <c r="AY20" s="149">
        <v>13.5</v>
      </c>
      <c r="AZ20" s="149">
        <v>13.5</v>
      </c>
      <c r="BA20" s="81"/>
      <c r="BB20" s="121">
        <f t="shared" si="9"/>
        <v>13.125</v>
      </c>
      <c r="BC20" s="149">
        <v>11.85</v>
      </c>
      <c r="BD20" s="149">
        <v>10.15</v>
      </c>
      <c r="BE20" s="149">
        <v>12.05</v>
      </c>
      <c r="BF20" s="149">
        <v>12.15</v>
      </c>
      <c r="BG20" s="81"/>
      <c r="BH20" s="121">
        <f t="shared" si="10"/>
        <v>11.549999999999999</v>
      </c>
      <c r="BI20" s="149">
        <v>12</v>
      </c>
      <c r="BJ20" s="149">
        <v>12.2</v>
      </c>
      <c r="BK20" s="149">
        <v>11.6</v>
      </c>
      <c r="BL20" s="149">
        <v>10.5</v>
      </c>
      <c r="BM20" s="149"/>
      <c r="BN20" s="121">
        <f t="shared" si="11"/>
        <v>11.574999999999999</v>
      </c>
    </row>
    <row r="21" spans="1:66" ht="14.25" thickBot="1">
      <c r="A21" s="62" t="s">
        <v>102</v>
      </c>
      <c r="B21" s="62" t="s">
        <v>606</v>
      </c>
      <c r="C21" s="110" t="s">
        <v>279</v>
      </c>
      <c r="D21" s="110">
        <v>4</v>
      </c>
      <c r="E21" s="64">
        <v>0.56874999999999998</v>
      </c>
      <c r="F21" s="64">
        <v>0.60261574074074076</v>
      </c>
      <c r="G21" s="64">
        <v>0.66365740740740742</v>
      </c>
      <c r="H21" s="65">
        <f>F21-E21</f>
        <v>3.386574074074078E-2</v>
      </c>
      <c r="I21" s="65">
        <f>H21-MIN(H$19:H$21)</f>
        <v>0</v>
      </c>
      <c r="J21" s="65">
        <f>G21-E21</f>
        <v>9.490740740740744E-2</v>
      </c>
      <c r="K21" s="66">
        <v>0.125</v>
      </c>
      <c r="L21" s="64">
        <v>0.32361111111111113</v>
      </c>
      <c r="M21" s="64">
        <v>0.35656249999999995</v>
      </c>
      <c r="N21" s="64">
        <v>0.49526620370370367</v>
      </c>
      <c r="O21" s="65">
        <f>M21-L21</f>
        <v>3.2951388888888822E-2</v>
      </c>
      <c r="P21" s="65">
        <f>O21-MIN(O$19:O$21)</f>
        <v>1.8634259259258656E-3</v>
      </c>
      <c r="Q21" s="65">
        <f>N21-L21</f>
        <v>0.17165509259259254</v>
      </c>
      <c r="R21" s="66">
        <v>0.20138888888888887</v>
      </c>
      <c r="S21" s="67">
        <f>ROUND(MAX(S$2-I21*60*24*0.5,0),1)</f>
        <v>15</v>
      </c>
      <c r="T21" s="67">
        <f>ROUND(MAX(T$2-P21*60*24*0.5,0),1)</f>
        <v>13.7</v>
      </c>
      <c r="U21" s="67">
        <f>ROUND(MAX(MIN(U$2+(K21-J21)*60*24*0.2,$U$2),0),1)</f>
        <v>5</v>
      </c>
      <c r="V21" s="67">
        <f>ROUND(MAX(MIN($V$2+(R21-Q21)*60*24*0.2,$V$2),0),1)</f>
        <v>5</v>
      </c>
      <c r="W21" s="68">
        <v>9.4</v>
      </c>
      <c r="X21" s="68">
        <v>7.3</v>
      </c>
      <c r="Y21" s="68">
        <v>4</v>
      </c>
      <c r="Z21" s="68">
        <v>2.2000000000000002</v>
      </c>
      <c r="AA21" s="68">
        <v>1.1000000000000001</v>
      </c>
      <c r="AB21" s="68">
        <v>4</v>
      </c>
      <c r="AC21" s="68">
        <v>2.8</v>
      </c>
      <c r="AD21" s="68">
        <v>1.6</v>
      </c>
      <c r="AE21" s="68">
        <v>5.9</v>
      </c>
      <c r="AF21" s="68">
        <v>2.7</v>
      </c>
      <c r="AG21" s="68">
        <v>3</v>
      </c>
      <c r="AH21" s="68">
        <v>5</v>
      </c>
      <c r="AI21" s="67">
        <f>SUM(S21:AH21)</f>
        <v>87.7</v>
      </c>
      <c r="AJ21" s="111">
        <f>RANK(AI21,$AI$19:$AI$21)</f>
        <v>2</v>
      </c>
      <c r="AL21" s="22">
        <f>RANK(I21,$I$19:$I$21,1)</f>
        <v>1</v>
      </c>
      <c r="AM21" s="81">
        <v>2</v>
      </c>
      <c r="AN21" s="81">
        <v>2</v>
      </c>
      <c r="AO21" s="160">
        <v>0.7</v>
      </c>
      <c r="AP21" s="160">
        <v>2</v>
      </c>
      <c r="AQ21" s="149">
        <v>14</v>
      </c>
      <c r="AR21" s="149">
        <v>13.75</v>
      </c>
      <c r="AS21" s="149">
        <v>11.15</v>
      </c>
      <c r="AT21" s="149">
        <v>12.8</v>
      </c>
      <c r="AU21" s="149"/>
      <c r="AV21" s="150">
        <f t="shared" si="8"/>
        <v>12.925000000000001</v>
      </c>
      <c r="AW21" s="149">
        <v>14</v>
      </c>
      <c r="AX21" s="149">
        <v>14.5</v>
      </c>
      <c r="AY21" s="149">
        <v>11</v>
      </c>
      <c r="AZ21" s="149">
        <v>13</v>
      </c>
      <c r="BA21" s="81"/>
      <c r="BB21" s="121">
        <f>AVERAGE(AW21:AZ21)</f>
        <v>13.125</v>
      </c>
      <c r="BC21" s="149">
        <v>12.75</v>
      </c>
      <c r="BD21" s="149">
        <v>11.7</v>
      </c>
      <c r="BE21" s="149">
        <v>9.75</v>
      </c>
      <c r="BF21" s="149">
        <v>10.9</v>
      </c>
      <c r="BG21" s="81"/>
      <c r="BH21" s="121">
        <f>AVERAGE(BC21:BF21)</f>
        <v>11.275</v>
      </c>
      <c r="BI21" s="149">
        <v>13.1</v>
      </c>
      <c r="BJ21" s="149">
        <v>12.3</v>
      </c>
      <c r="BK21" s="149">
        <v>9.5</v>
      </c>
      <c r="BL21" s="149">
        <v>9.8000000000000007</v>
      </c>
      <c r="BM21" s="149"/>
      <c r="BN21" s="121">
        <f>AVERAGE(BI21:BL21)</f>
        <v>11.175000000000001</v>
      </c>
    </row>
    <row r="22" spans="1:66">
      <c r="A22" s="44" t="s">
        <v>103</v>
      </c>
      <c r="B22" s="44" t="s">
        <v>611</v>
      </c>
      <c r="C22" s="107"/>
      <c r="D22" s="107">
        <v>1</v>
      </c>
      <c r="E22" s="46"/>
      <c r="F22" s="46"/>
      <c r="G22" s="46"/>
      <c r="H22" s="47"/>
      <c r="I22" s="47"/>
      <c r="J22" s="47"/>
      <c r="K22" s="48"/>
      <c r="L22" s="46"/>
      <c r="M22" s="46"/>
      <c r="N22" s="46"/>
      <c r="O22" s="47"/>
      <c r="P22" s="47"/>
      <c r="Q22" s="47"/>
      <c r="R22" s="48"/>
      <c r="S22" s="49"/>
      <c r="T22" s="49"/>
      <c r="U22" s="49"/>
      <c r="V22" s="49"/>
      <c r="W22" s="50"/>
      <c r="X22" s="50"/>
      <c r="Y22" s="50"/>
      <c r="Z22" s="50"/>
      <c r="AA22" s="50"/>
      <c r="AB22" s="50"/>
      <c r="AC22" s="50"/>
      <c r="AD22" s="50"/>
      <c r="AE22" s="50"/>
      <c r="AF22" s="50"/>
      <c r="AG22" s="50"/>
      <c r="AH22" s="50"/>
      <c r="AI22" s="49"/>
      <c r="AJ22" s="51"/>
      <c r="AQ22" s="81"/>
      <c r="AR22" s="81"/>
      <c r="AS22" s="81"/>
      <c r="AT22" s="81"/>
      <c r="AU22" s="81"/>
      <c r="AV22" s="121"/>
      <c r="AW22" s="81"/>
      <c r="AX22" s="81"/>
      <c r="AY22" s="81"/>
      <c r="AZ22" s="81"/>
      <c r="BA22" s="81"/>
      <c r="BB22" s="121"/>
      <c r="BC22" s="81"/>
      <c r="BD22" s="81"/>
      <c r="BE22" s="81"/>
      <c r="BF22" s="81"/>
      <c r="BG22" s="81"/>
      <c r="BH22" s="121"/>
      <c r="BI22" s="81"/>
      <c r="BJ22" s="81"/>
      <c r="BK22" s="81"/>
      <c r="BL22" s="81"/>
      <c r="BM22" s="81"/>
      <c r="BN22" s="121"/>
    </row>
    <row r="23" spans="1:66">
      <c r="A23" s="14" t="s">
        <v>612</v>
      </c>
      <c r="B23" s="14" t="s">
        <v>219</v>
      </c>
      <c r="C23" s="101"/>
      <c r="D23" s="101">
        <v>2</v>
      </c>
      <c r="E23" s="16"/>
      <c r="F23" s="16"/>
      <c r="G23" s="16"/>
      <c r="H23" s="17"/>
      <c r="I23" s="17"/>
      <c r="J23" s="17"/>
      <c r="K23" s="18"/>
      <c r="L23" s="16"/>
      <c r="M23" s="16"/>
      <c r="N23" s="16"/>
      <c r="O23" s="17"/>
      <c r="P23" s="17"/>
      <c r="Q23" s="17"/>
      <c r="R23" s="18"/>
      <c r="S23" s="19"/>
      <c r="T23" s="19"/>
      <c r="U23" s="19"/>
      <c r="V23" s="19"/>
      <c r="W23" s="37"/>
      <c r="X23" s="37"/>
      <c r="Y23" s="37"/>
      <c r="Z23" s="37"/>
      <c r="AA23" s="37"/>
      <c r="AB23" s="37"/>
      <c r="AC23" s="37"/>
      <c r="AD23" s="37"/>
      <c r="AE23" s="37"/>
      <c r="AF23" s="37"/>
      <c r="AG23" s="37"/>
      <c r="AH23" s="37"/>
      <c r="AI23" s="19"/>
      <c r="AJ23" s="33"/>
    </row>
    <row r="24" spans="1:66">
      <c r="A24" s="14" t="s">
        <v>103</v>
      </c>
      <c r="B24" s="14" t="s">
        <v>124</v>
      </c>
      <c r="C24" s="130"/>
      <c r="D24" s="101">
        <v>3</v>
      </c>
      <c r="E24" s="16"/>
      <c r="F24" s="16"/>
      <c r="G24" s="16"/>
      <c r="H24" s="17"/>
      <c r="I24" s="17"/>
      <c r="J24" s="17"/>
      <c r="K24" s="18"/>
      <c r="L24" s="16"/>
      <c r="M24" s="16"/>
      <c r="N24" s="16"/>
      <c r="O24" s="17"/>
      <c r="P24" s="17"/>
      <c r="Q24" s="17"/>
      <c r="R24" s="18"/>
      <c r="S24" s="19"/>
      <c r="T24" s="19"/>
      <c r="U24" s="19"/>
      <c r="V24" s="19"/>
      <c r="W24" s="37"/>
      <c r="X24" s="37"/>
      <c r="Y24" s="37"/>
      <c r="Z24" s="37"/>
      <c r="AA24" s="37"/>
      <c r="AB24" s="37"/>
      <c r="AC24" s="37"/>
      <c r="AD24" s="37"/>
      <c r="AE24" s="37"/>
      <c r="AF24" s="37"/>
      <c r="AG24" s="37"/>
      <c r="AH24" s="37"/>
      <c r="AI24" s="19"/>
      <c r="AJ24" s="33"/>
    </row>
    <row r="25" spans="1:66">
      <c r="A25" s="14" t="s">
        <v>103</v>
      </c>
      <c r="B25" s="14" t="s">
        <v>592</v>
      </c>
      <c r="C25" s="101"/>
      <c r="D25" s="101">
        <v>4</v>
      </c>
      <c r="E25" s="16"/>
      <c r="F25" s="16"/>
      <c r="G25" s="16"/>
      <c r="H25" s="17"/>
      <c r="I25" s="17"/>
      <c r="J25" s="17"/>
      <c r="K25" s="18"/>
      <c r="L25" s="16"/>
      <c r="M25" s="16"/>
      <c r="N25" s="16"/>
      <c r="O25" s="17"/>
      <c r="P25" s="17"/>
      <c r="Q25" s="17"/>
      <c r="R25" s="18"/>
      <c r="S25" s="19"/>
      <c r="T25" s="19"/>
      <c r="U25" s="19"/>
      <c r="V25" s="19"/>
      <c r="W25" s="37"/>
      <c r="X25" s="37"/>
      <c r="Y25" s="37"/>
      <c r="Z25" s="37"/>
      <c r="AA25" s="37"/>
      <c r="AB25" s="37"/>
      <c r="AC25" s="37"/>
      <c r="AD25" s="37"/>
      <c r="AE25" s="37"/>
      <c r="AF25" s="37"/>
      <c r="AG25" s="37"/>
      <c r="AH25" s="37"/>
      <c r="AI25" s="19"/>
      <c r="AJ25" s="33"/>
    </row>
    <row r="26" spans="1:66">
      <c r="A26" s="14" t="s">
        <v>103</v>
      </c>
      <c r="B26" s="14" t="s">
        <v>69</v>
      </c>
      <c r="C26" s="101"/>
      <c r="D26" s="101">
        <v>2</v>
      </c>
      <c r="E26" s="16"/>
      <c r="F26" s="16"/>
      <c r="G26" s="16"/>
      <c r="H26" s="17"/>
      <c r="I26" s="17"/>
      <c r="J26" s="17"/>
      <c r="K26" s="18"/>
      <c r="L26" s="16"/>
      <c r="M26" s="16"/>
      <c r="N26" s="16"/>
      <c r="O26" s="17"/>
      <c r="P26" s="17"/>
      <c r="Q26" s="17"/>
      <c r="R26" s="18"/>
      <c r="S26" s="19"/>
      <c r="T26" s="19"/>
      <c r="U26" s="19"/>
      <c r="V26" s="19"/>
      <c r="W26" s="37"/>
      <c r="X26" s="37"/>
      <c r="Y26" s="37"/>
      <c r="Z26" s="37"/>
      <c r="AA26" s="37"/>
      <c r="AB26" s="37"/>
      <c r="AC26" s="37"/>
      <c r="AD26" s="37"/>
      <c r="AE26" s="37"/>
      <c r="AF26" s="37"/>
      <c r="AG26" s="37"/>
      <c r="AH26" s="37"/>
      <c r="AI26" s="19"/>
      <c r="AJ26" s="33"/>
    </row>
    <row r="27" spans="1:66">
      <c r="A27" s="14" t="s">
        <v>103</v>
      </c>
      <c r="B27" s="14" t="s">
        <v>29</v>
      </c>
      <c r="C27" s="101"/>
      <c r="D27" s="101">
        <v>2</v>
      </c>
      <c r="E27" s="16"/>
      <c r="F27" s="16"/>
      <c r="G27" s="16"/>
      <c r="H27" s="17"/>
      <c r="I27" s="17"/>
      <c r="J27" s="17"/>
      <c r="K27" s="18"/>
      <c r="L27" s="16"/>
      <c r="M27" s="16"/>
      <c r="N27" s="16"/>
      <c r="O27" s="17"/>
      <c r="P27" s="17"/>
      <c r="Q27" s="17"/>
      <c r="R27" s="18"/>
      <c r="S27" s="19"/>
      <c r="T27" s="19"/>
      <c r="U27" s="19"/>
      <c r="V27" s="19"/>
      <c r="W27" s="37"/>
      <c r="X27" s="37"/>
      <c r="Y27" s="37"/>
      <c r="Z27" s="37"/>
      <c r="AA27" s="37"/>
      <c r="AB27" s="37"/>
      <c r="AC27" s="37"/>
      <c r="AD27" s="37"/>
      <c r="AE27" s="37"/>
      <c r="AF27" s="37"/>
      <c r="AG27" s="37"/>
      <c r="AH27" s="37"/>
      <c r="AI27" s="19"/>
      <c r="AJ27" s="33"/>
    </row>
    <row r="28" spans="1:66">
      <c r="A28" s="14" t="s">
        <v>103</v>
      </c>
      <c r="B28" s="14" t="s">
        <v>234</v>
      </c>
      <c r="C28" s="101"/>
      <c r="D28" s="101">
        <v>1</v>
      </c>
      <c r="E28" s="16"/>
      <c r="F28" s="16"/>
      <c r="G28" s="16"/>
      <c r="H28" s="17"/>
      <c r="I28" s="17"/>
      <c r="J28" s="17"/>
      <c r="K28" s="18"/>
      <c r="L28" s="16"/>
      <c r="M28" s="16"/>
      <c r="N28" s="16"/>
      <c r="O28" s="17"/>
      <c r="P28" s="17"/>
      <c r="Q28" s="17"/>
      <c r="R28" s="18"/>
      <c r="S28" s="19"/>
      <c r="T28" s="19"/>
      <c r="U28" s="19"/>
      <c r="V28" s="19"/>
      <c r="W28" s="37"/>
      <c r="X28" s="37"/>
      <c r="Y28" s="37"/>
      <c r="Z28" s="37"/>
      <c r="AA28" s="37"/>
      <c r="AB28" s="37"/>
      <c r="AC28" s="37"/>
      <c r="AD28" s="37"/>
      <c r="AE28" s="37"/>
      <c r="AF28" s="37"/>
      <c r="AG28" s="37"/>
      <c r="AH28" s="37"/>
      <c r="AI28" s="19"/>
      <c r="AJ28" s="33"/>
    </row>
    <row r="29" spans="1:66">
      <c r="A29" s="14" t="s">
        <v>103</v>
      </c>
      <c r="B29" s="14" t="s">
        <v>179</v>
      </c>
      <c r="C29" s="101"/>
      <c r="D29" s="101">
        <v>1</v>
      </c>
      <c r="E29" s="16"/>
      <c r="F29" s="16"/>
      <c r="G29" s="16"/>
      <c r="H29" s="17"/>
      <c r="I29" s="17"/>
      <c r="J29" s="17"/>
      <c r="K29" s="18"/>
      <c r="L29" s="16"/>
      <c r="M29" s="16"/>
      <c r="N29" s="16"/>
      <c r="O29" s="17"/>
      <c r="P29" s="17"/>
      <c r="Q29" s="17"/>
      <c r="R29" s="18"/>
      <c r="S29" s="19"/>
      <c r="T29" s="19"/>
      <c r="U29" s="19"/>
      <c r="V29" s="19"/>
      <c r="W29" s="37"/>
      <c r="X29" s="37"/>
      <c r="Y29" s="37"/>
      <c r="Z29" s="37"/>
      <c r="AA29" s="37"/>
      <c r="AB29" s="37"/>
      <c r="AC29" s="37"/>
      <c r="AD29" s="37"/>
      <c r="AE29" s="37"/>
      <c r="AF29" s="37"/>
      <c r="AG29" s="37"/>
      <c r="AH29" s="37"/>
      <c r="AI29" s="19"/>
      <c r="AJ29" s="33"/>
    </row>
    <row r="30" spans="1:66">
      <c r="A30" s="14" t="s">
        <v>103</v>
      </c>
      <c r="B30" s="14" t="s">
        <v>213</v>
      </c>
      <c r="C30" s="101"/>
      <c r="D30" s="101">
        <v>2</v>
      </c>
      <c r="E30" s="16"/>
      <c r="F30" s="16"/>
      <c r="G30" s="16"/>
      <c r="H30" s="17"/>
      <c r="I30" s="17"/>
      <c r="J30" s="17"/>
      <c r="K30" s="18"/>
      <c r="L30" s="16"/>
      <c r="M30" s="16"/>
      <c r="N30" s="16"/>
      <c r="O30" s="17"/>
      <c r="P30" s="17"/>
      <c r="Q30" s="17"/>
      <c r="R30" s="18"/>
      <c r="S30" s="19"/>
      <c r="T30" s="19"/>
      <c r="U30" s="19"/>
      <c r="V30" s="19"/>
      <c r="W30" s="37"/>
      <c r="X30" s="37"/>
      <c r="Y30" s="37"/>
      <c r="Z30" s="37"/>
      <c r="AA30" s="37"/>
      <c r="AB30" s="37"/>
      <c r="AC30" s="37"/>
      <c r="AD30" s="37"/>
      <c r="AE30" s="37"/>
      <c r="AF30" s="37"/>
      <c r="AG30" s="37"/>
      <c r="AH30" s="37"/>
      <c r="AI30" s="19"/>
      <c r="AJ30" s="33"/>
    </row>
    <row r="31" spans="1:66">
      <c r="A31" s="14" t="s">
        <v>104</v>
      </c>
      <c r="B31" s="14" t="s">
        <v>219</v>
      </c>
      <c r="C31" s="101"/>
      <c r="D31" s="101">
        <v>2</v>
      </c>
      <c r="E31" s="16"/>
      <c r="F31" s="16"/>
      <c r="G31" s="16"/>
      <c r="H31" s="17"/>
      <c r="I31" s="17"/>
      <c r="J31" s="17"/>
      <c r="K31" s="18"/>
      <c r="L31" s="16"/>
      <c r="M31" s="16"/>
      <c r="N31" s="16"/>
      <c r="O31" s="17"/>
      <c r="P31" s="17"/>
      <c r="Q31" s="17"/>
      <c r="R31" s="18"/>
      <c r="S31" s="19"/>
      <c r="T31" s="19"/>
      <c r="U31" s="19"/>
      <c r="V31" s="19"/>
      <c r="W31" s="37"/>
      <c r="X31" s="37"/>
      <c r="Y31" s="37"/>
      <c r="Z31" s="37"/>
      <c r="AA31" s="37"/>
      <c r="AB31" s="37"/>
      <c r="AC31" s="37"/>
      <c r="AD31" s="37"/>
      <c r="AE31" s="37"/>
      <c r="AF31" s="37"/>
      <c r="AG31" s="37"/>
      <c r="AH31" s="37"/>
      <c r="AI31" s="19"/>
      <c r="AJ31" s="33"/>
    </row>
    <row r="32" spans="1:66">
      <c r="A32" s="14" t="s">
        <v>104</v>
      </c>
      <c r="B32" s="14" t="s">
        <v>140</v>
      </c>
      <c r="C32" s="101"/>
      <c r="D32" s="101">
        <v>1</v>
      </c>
      <c r="E32" s="16"/>
      <c r="F32" s="16"/>
      <c r="G32" s="16"/>
      <c r="H32" s="17"/>
      <c r="I32" s="17"/>
      <c r="J32" s="17"/>
      <c r="K32" s="18"/>
      <c r="L32" s="16"/>
      <c r="M32" s="16"/>
      <c r="N32" s="16"/>
      <c r="O32" s="17"/>
      <c r="P32" s="17"/>
      <c r="Q32" s="17"/>
      <c r="R32" s="18"/>
      <c r="S32" s="19"/>
      <c r="T32" s="19"/>
      <c r="U32" s="19"/>
      <c r="V32" s="19"/>
      <c r="W32" s="37"/>
      <c r="X32" s="37"/>
      <c r="Y32" s="37"/>
      <c r="Z32" s="37"/>
      <c r="AA32" s="37"/>
      <c r="AB32" s="37"/>
      <c r="AC32" s="37"/>
      <c r="AD32" s="37"/>
      <c r="AE32" s="37"/>
      <c r="AF32" s="37"/>
      <c r="AG32" s="37"/>
      <c r="AH32" s="37"/>
      <c r="AI32" s="19"/>
      <c r="AJ32" s="33"/>
    </row>
    <row r="33" spans="1:66">
      <c r="A33" s="14" t="s">
        <v>104</v>
      </c>
      <c r="B33" s="14" t="s">
        <v>182</v>
      </c>
      <c r="C33" s="101"/>
      <c r="D33" s="101">
        <v>2</v>
      </c>
      <c r="E33" s="16"/>
      <c r="F33" s="16"/>
      <c r="G33" s="16"/>
      <c r="H33" s="17"/>
      <c r="I33" s="17"/>
      <c r="J33" s="17"/>
      <c r="K33" s="18"/>
      <c r="L33" s="16"/>
      <c r="M33" s="16"/>
      <c r="N33" s="16"/>
      <c r="O33" s="17"/>
      <c r="P33" s="17"/>
      <c r="Q33" s="17"/>
      <c r="R33" s="18"/>
      <c r="S33" s="19"/>
      <c r="T33" s="19"/>
      <c r="U33" s="19"/>
      <c r="V33" s="19"/>
      <c r="W33" s="37"/>
      <c r="X33" s="37"/>
      <c r="Y33" s="37"/>
      <c r="Z33" s="37"/>
      <c r="AA33" s="37"/>
      <c r="AB33" s="37"/>
      <c r="AC33" s="37"/>
      <c r="AD33" s="37"/>
      <c r="AE33" s="37"/>
      <c r="AF33" s="37"/>
      <c r="AG33" s="37"/>
      <c r="AH33" s="37"/>
      <c r="AI33" s="19"/>
      <c r="AJ33" s="33"/>
    </row>
    <row r="34" spans="1:66" s="127" customFormat="1">
      <c r="A34" s="135"/>
      <c r="B34" s="135"/>
      <c r="C34" s="136"/>
      <c r="D34" s="137"/>
      <c r="E34" s="16">
        <f t="shared" ref="E34:AK34" si="19">AVERAGE(E3:E21)</f>
        <v>0.57039473684210551</v>
      </c>
      <c r="F34" s="16">
        <f t="shared" si="19"/>
        <v>0.59891020955165697</v>
      </c>
      <c r="G34" s="16">
        <f t="shared" si="19"/>
        <v>0.65570236354775846</v>
      </c>
      <c r="H34" s="17">
        <f t="shared" si="19"/>
        <v>2.8515472709551459E-2</v>
      </c>
      <c r="I34" s="17">
        <f t="shared" si="19"/>
        <v>9.5620126705648727E-3</v>
      </c>
      <c r="J34" s="17">
        <f t="shared" si="19"/>
        <v>8.5307626705652839E-2</v>
      </c>
      <c r="K34" s="18">
        <f t="shared" si="19"/>
        <v>0.1133040935672515</v>
      </c>
      <c r="L34" s="16">
        <f t="shared" si="19"/>
        <v>0.31856725146198828</v>
      </c>
      <c r="M34" s="16">
        <f t="shared" si="19"/>
        <v>0.34645102339181294</v>
      </c>
      <c r="N34" s="16">
        <f t="shared" si="19"/>
        <v>0.47633954678362589</v>
      </c>
      <c r="O34" s="17">
        <f t="shared" si="19"/>
        <v>2.7883771929824538E-2</v>
      </c>
      <c r="P34" s="17">
        <f t="shared" si="19"/>
        <v>7.9166666666666274E-3</v>
      </c>
      <c r="Q34" s="17">
        <f t="shared" si="19"/>
        <v>0.15777229532163742</v>
      </c>
      <c r="R34" s="18">
        <f t="shared" si="19"/>
        <v>0.18384502923976603</v>
      </c>
      <c r="S34" s="158">
        <f t="shared" si="19"/>
        <v>8.3947368421052637</v>
      </c>
      <c r="T34" s="158">
        <f t="shared" si="19"/>
        <v>9.2947368421052605</v>
      </c>
      <c r="U34" s="158">
        <f t="shared" si="19"/>
        <v>5</v>
      </c>
      <c r="V34" s="158">
        <f t="shared" si="19"/>
        <v>5</v>
      </c>
      <c r="W34" s="158">
        <f t="shared" si="19"/>
        <v>8.3157894736842106</v>
      </c>
      <c r="X34" s="158">
        <f t="shared" si="19"/>
        <v>7.7</v>
      </c>
      <c r="Y34" s="158">
        <f t="shared" si="19"/>
        <v>3.6210526315789471</v>
      </c>
      <c r="Z34" s="158">
        <f t="shared" si="19"/>
        <v>2.2631578947368425</v>
      </c>
      <c r="AA34" s="158">
        <f t="shared" si="19"/>
        <v>1.4315789473684213</v>
      </c>
      <c r="AB34" s="158">
        <f t="shared" si="19"/>
        <v>4.0263157894736841</v>
      </c>
      <c r="AC34" s="158">
        <f t="shared" si="19"/>
        <v>3.1473684210526311</v>
      </c>
      <c r="AD34" s="158">
        <f t="shared" si="19"/>
        <v>1.610526315789474</v>
      </c>
      <c r="AE34" s="158">
        <f t="shared" si="19"/>
        <v>5.1842105263157894</v>
      </c>
      <c r="AF34" s="158">
        <f t="shared" si="19"/>
        <v>2.5684210526315794</v>
      </c>
      <c r="AG34" s="158">
        <f t="shared" si="19"/>
        <v>2.8947368421052633</v>
      </c>
      <c r="AH34" s="158">
        <f t="shared" si="19"/>
        <v>4.7368421052631575</v>
      </c>
      <c r="AI34" s="158">
        <f t="shared" si="19"/>
        <v>75.189473684210526</v>
      </c>
      <c r="AJ34" s="158">
        <f t="shared" si="19"/>
        <v>4.1578947368421053</v>
      </c>
      <c r="AK34" s="126" t="e">
        <f t="shared" si="19"/>
        <v>#DIV/0!</v>
      </c>
      <c r="AL34" s="126"/>
      <c r="AM34" s="126"/>
      <c r="AN34" s="126"/>
      <c r="AO34" s="126"/>
      <c r="AP34" s="126"/>
      <c r="AQ34" s="126">
        <f t="shared" ref="AQ34:BN34" si="20">AVERAGE(AQ3:AQ21)</f>
        <v>13.023684210526316</v>
      </c>
      <c r="AR34" s="126">
        <f t="shared" si="20"/>
        <v>12.93157894736842</v>
      </c>
      <c r="AS34" s="126">
        <f t="shared" si="20"/>
        <v>12.515789473684212</v>
      </c>
      <c r="AT34" s="126"/>
      <c r="AU34" s="126">
        <f t="shared" si="20"/>
        <v>12.533333333333333</v>
      </c>
      <c r="AV34" s="126">
        <f t="shared" si="20"/>
        <v>12.878508771929825</v>
      </c>
      <c r="AW34" s="126">
        <f t="shared" si="20"/>
        <v>13.026315789473685</v>
      </c>
      <c r="AX34" s="126">
        <f t="shared" si="20"/>
        <v>13.289473684210526</v>
      </c>
      <c r="AY34" s="126">
        <f t="shared" si="20"/>
        <v>12.710526315789474</v>
      </c>
      <c r="AZ34" s="126">
        <f t="shared" si="20"/>
        <v>13.735294117647058</v>
      </c>
      <c r="BA34" s="126"/>
      <c r="BB34" s="126">
        <f t="shared" si="20"/>
        <v>13.161842105263158</v>
      </c>
      <c r="BC34" s="126">
        <f t="shared" si="20"/>
        <v>12.19736842105263</v>
      </c>
      <c r="BD34" s="126">
        <f t="shared" si="20"/>
        <v>12.081578947368421</v>
      </c>
      <c r="BE34" s="126">
        <f t="shared" si="20"/>
        <v>11.734210526315788</v>
      </c>
      <c r="BF34" s="126">
        <f t="shared" si="20"/>
        <v>11.238235294117645</v>
      </c>
      <c r="BG34" s="126"/>
      <c r="BH34" s="126">
        <f t="shared" si="20"/>
        <v>11.834736842105263</v>
      </c>
      <c r="BI34" s="126">
        <f t="shared" si="20"/>
        <v>12.557894736842105</v>
      </c>
      <c r="BJ34" s="126">
        <f t="shared" si="20"/>
        <v>11.442105263157895</v>
      </c>
      <c r="BK34" s="126">
        <f t="shared" si="20"/>
        <v>11.799999999999999</v>
      </c>
      <c r="BL34" s="126">
        <f t="shared" si="20"/>
        <v>11.352941176470589</v>
      </c>
      <c r="BM34" s="126"/>
      <c r="BN34" s="126">
        <f t="shared" si="20"/>
        <v>11.811403508771932</v>
      </c>
    </row>
    <row r="35" spans="1:66" ht="14.25">
      <c r="H35" s="106" t="s">
        <v>243</v>
      </c>
    </row>
    <row r="36" spans="1:66">
      <c r="H36" s="25" t="s">
        <v>244</v>
      </c>
    </row>
    <row r="37" spans="1:66">
      <c r="H37" s="25" t="s">
        <v>258</v>
      </c>
    </row>
    <row r="38" spans="1:66">
      <c r="H38" s="25" t="s">
        <v>595</v>
      </c>
    </row>
    <row r="39" spans="1:66">
      <c r="H39" s="25" t="s">
        <v>596</v>
      </c>
    </row>
    <row r="40" spans="1:66">
      <c r="H40" s="25" t="s">
        <v>597</v>
      </c>
    </row>
    <row r="41" spans="1:66">
      <c r="H41" s="25" t="s">
        <v>598</v>
      </c>
    </row>
    <row r="42" spans="1:66">
      <c r="H42" s="25" t="s">
        <v>260</v>
      </c>
    </row>
    <row r="43" spans="1:66">
      <c r="H43" s="25" t="s">
        <v>248</v>
      </c>
    </row>
    <row r="44" spans="1:66">
      <c r="I44" s="105" t="s">
        <v>250</v>
      </c>
      <c r="J44" s="25" t="s">
        <v>252</v>
      </c>
      <c r="K44" s="151" t="s">
        <v>251</v>
      </c>
    </row>
    <row r="45" spans="1:66">
      <c r="I45" s="25">
        <v>0.125</v>
      </c>
      <c r="J45" s="104">
        <v>0</v>
      </c>
      <c r="K45" s="157">
        <v>5</v>
      </c>
    </row>
    <row r="46" spans="1:66">
      <c r="I46" s="25">
        <v>0.12516203703703704</v>
      </c>
      <c r="J46" s="104">
        <v>0</v>
      </c>
      <c r="K46" s="157">
        <v>5</v>
      </c>
    </row>
    <row r="47" spans="1:66">
      <c r="I47" s="25">
        <v>0.125173611111111</v>
      </c>
      <c r="J47" s="104">
        <v>0</v>
      </c>
      <c r="K47" s="157">
        <v>5</v>
      </c>
    </row>
    <row r="48" spans="1:66">
      <c r="I48" s="25">
        <v>0.12518518518518501</v>
      </c>
      <c r="J48" s="104">
        <v>0.1</v>
      </c>
      <c r="K48" s="157">
        <v>4.9000000000000004</v>
      </c>
    </row>
    <row r="49" spans="8:11">
      <c r="I49" s="25" t="s">
        <v>253</v>
      </c>
      <c r="J49" s="104"/>
      <c r="K49" s="157"/>
    </row>
    <row r="50" spans="8:11">
      <c r="I50" s="25" t="s">
        <v>253</v>
      </c>
      <c r="J50" s="104"/>
      <c r="K50" s="157"/>
    </row>
    <row r="51" spans="8:11">
      <c r="I51" s="25">
        <v>0.12534722222222222</v>
      </c>
      <c r="J51" s="104">
        <v>0.1</v>
      </c>
      <c r="K51" s="157">
        <v>4.9000000000000004</v>
      </c>
    </row>
    <row r="52" spans="8:11">
      <c r="I52" s="25" t="s">
        <v>253</v>
      </c>
      <c r="J52" s="104"/>
      <c r="K52" s="157"/>
    </row>
    <row r="53" spans="8:11">
      <c r="I53" s="25">
        <v>0.12552083333333333</v>
      </c>
      <c r="J53" s="104">
        <v>0.1</v>
      </c>
      <c r="K53" s="157">
        <v>4.9000000000000004</v>
      </c>
    </row>
    <row r="54" spans="8:11">
      <c r="I54" s="25">
        <v>0.12553240740740743</v>
      </c>
      <c r="J54" s="104">
        <v>0.2</v>
      </c>
      <c r="K54" s="157">
        <v>4.8</v>
      </c>
    </row>
    <row r="55" spans="8:11">
      <c r="I55" s="25" t="s">
        <v>253</v>
      </c>
      <c r="J55" s="104"/>
      <c r="K55" s="157"/>
    </row>
    <row r="56" spans="8:11">
      <c r="I56" s="25">
        <v>0.12586805555555555</v>
      </c>
      <c r="J56" s="104">
        <v>0.2</v>
      </c>
      <c r="K56" s="157">
        <v>4.8</v>
      </c>
    </row>
    <row r="57" spans="8:11">
      <c r="I57" s="25">
        <v>0.12587962962962965</v>
      </c>
      <c r="J57" s="104">
        <v>0.3</v>
      </c>
      <c r="K57" s="157">
        <v>4.7</v>
      </c>
    </row>
    <row r="58" spans="8:11">
      <c r="I58" s="25" t="s">
        <v>253</v>
      </c>
    </row>
    <row r="59" spans="8:11">
      <c r="H59" s="25" t="s">
        <v>254</v>
      </c>
    </row>
    <row r="60" spans="8:11">
      <c r="H60" s="25" t="s">
        <v>599</v>
      </c>
    </row>
    <row r="61" spans="8:11">
      <c r="H61" s="25" t="s">
        <v>255</v>
      </c>
    </row>
    <row r="62" spans="8:11">
      <c r="H62" s="25" t="s">
        <v>256</v>
      </c>
    </row>
    <row r="63" spans="8:11">
      <c r="H63" s="25" t="s">
        <v>259</v>
      </c>
    </row>
  </sheetData>
  <phoneticPr fontId="12"/>
  <conditionalFormatting sqref="BB3:BB22 AV3:AV22">
    <cfRule type="cellIs" dxfId="17" priority="2" stopIfTrue="1" operator="lessThanOrEqual">
      <formula>12</formula>
    </cfRule>
  </conditionalFormatting>
  <conditionalFormatting sqref="BH3:BH22 BN3:BN22">
    <cfRule type="cellIs" dxfId="16" priority="1" stopIfTrue="1" operator="lessThanOrEqual">
      <formula>11</formula>
    </cfRule>
  </conditionalFormatting>
  <pageMargins left="0.23" right="0.2" top="0.98399999999999999" bottom="0.98399999999999999" header="0.51200000000000001" footer="0.51200000000000001"/>
  <pageSetup paperSize="9" scale="93"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BN69"/>
  <sheetViews>
    <sheetView view="pageBreakPreview" zoomScale="115" zoomScaleNormal="115" zoomScaleSheetLayoutView="115" workbookViewId="0">
      <pane xSplit="2" ySplit="1" topLeftCell="C14" activePane="bottomRight" state="frozen"/>
      <selection pane="topRight" activeCell="C1" sqref="C1"/>
      <selection pane="bottomLeft" activeCell="A2" sqref="A2"/>
      <selection pane="bottomRight" activeCell="O3" sqref="O3"/>
    </sheetView>
  </sheetViews>
  <sheetFormatPr defaultRowHeight="13.5"/>
  <cols>
    <col min="1" max="1" width="3.75" style="22" bestFit="1" customWidth="1"/>
    <col min="2" max="2" width="15" style="22" bestFit="1" customWidth="1"/>
    <col min="3" max="3" width="6.625" style="23" customWidth="1"/>
    <col min="4" max="4" width="5.75" style="23" customWidth="1"/>
    <col min="5" max="6" width="8.25" style="24" customWidth="1"/>
    <col min="7" max="7" width="7.875" style="24" customWidth="1"/>
    <col min="8" max="11" width="7.5" style="151" customWidth="1"/>
    <col min="12" max="13" width="7.25" style="24" customWidth="1"/>
    <col min="14" max="14" width="8.125" style="24" customWidth="1"/>
    <col min="15" max="17" width="7.5" style="151" customWidth="1"/>
    <col min="18" max="18" width="7.75" style="151" customWidth="1"/>
    <col min="19" max="19" width="7.125" style="155" customWidth="1"/>
    <col min="20" max="22" width="7.125" style="152" customWidth="1"/>
    <col min="23" max="34" width="7.125" style="156" customWidth="1"/>
    <col min="35" max="35" width="6.75" style="152" bestFit="1" customWidth="1"/>
    <col min="36" max="36" width="5.75" style="152" bestFit="1" customWidth="1"/>
    <col min="37" max="37" width="19.25" style="22" bestFit="1" customWidth="1"/>
    <col min="38" max="38" width="9" style="22"/>
  </cols>
  <sheetData>
    <row r="1" spans="1:66" s="6" customFormat="1">
      <c r="A1" s="1" t="s">
        <v>87</v>
      </c>
      <c r="B1" s="1" t="s">
        <v>88</v>
      </c>
      <c r="C1" s="8" t="s">
        <v>89</v>
      </c>
      <c r="D1" s="8" t="s">
        <v>228</v>
      </c>
      <c r="E1" s="2" t="s">
        <v>106</v>
      </c>
      <c r="F1" s="2" t="s">
        <v>107</v>
      </c>
      <c r="G1" s="2" t="s">
        <v>108</v>
      </c>
      <c r="H1" s="3" t="s">
        <v>91</v>
      </c>
      <c r="I1" s="3" t="s">
        <v>92</v>
      </c>
      <c r="J1" s="3" t="s">
        <v>239</v>
      </c>
      <c r="K1" s="3" t="s">
        <v>240</v>
      </c>
      <c r="L1" s="2" t="s">
        <v>109</v>
      </c>
      <c r="M1" s="2" t="s">
        <v>110</v>
      </c>
      <c r="N1" s="2" t="s">
        <v>111</v>
      </c>
      <c r="O1" s="3" t="s">
        <v>93</v>
      </c>
      <c r="P1" s="3" t="s">
        <v>94</v>
      </c>
      <c r="Q1" s="3" t="s">
        <v>241</v>
      </c>
      <c r="R1" s="3" t="s">
        <v>242</v>
      </c>
      <c r="S1" s="4" t="s">
        <v>95</v>
      </c>
      <c r="T1" s="5" t="s">
        <v>96</v>
      </c>
      <c r="U1" s="5" t="s">
        <v>637</v>
      </c>
      <c r="V1" s="5" t="s">
        <v>638</v>
      </c>
      <c r="W1" s="133" t="s">
        <v>97</v>
      </c>
      <c r="X1" s="35" t="s">
        <v>2</v>
      </c>
      <c r="Y1" s="35" t="s">
        <v>3</v>
      </c>
      <c r="Z1" s="35" t="s">
        <v>4</v>
      </c>
      <c r="AA1" s="35" t="s">
        <v>214</v>
      </c>
      <c r="AB1" s="35" t="s">
        <v>5</v>
      </c>
      <c r="AC1" s="133" t="s">
        <v>6</v>
      </c>
      <c r="AD1" s="35" t="s">
        <v>7</v>
      </c>
      <c r="AE1" s="35" t="s">
        <v>8</v>
      </c>
      <c r="AF1" s="35" t="s">
        <v>9</v>
      </c>
      <c r="AG1" s="35" t="s">
        <v>10</v>
      </c>
      <c r="AH1" s="35" t="s">
        <v>11</v>
      </c>
      <c r="AI1" s="5" t="s">
        <v>12</v>
      </c>
      <c r="AJ1" s="5" t="s">
        <v>98</v>
      </c>
      <c r="AK1" s="6" t="s">
        <v>105</v>
      </c>
      <c r="AL1" s="6" t="s">
        <v>190</v>
      </c>
      <c r="AM1" s="6" t="s">
        <v>594</v>
      </c>
      <c r="AN1" s="6" t="s">
        <v>291</v>
      </c>
      <c r="AO1" s="6" t="s">
        <v>614</v>
      </c>
      <c r="AP1" s="6" t="s">
        <v>615</v>
      </c>
      <c r="AQ1" s="6" t="s">
        <v>289</v>
      </c>
      <c r="AW1" s="6" t="s">
        <v>288</v>
      </c>
      <c r="BC1" s="6" t="s">
        <v>286</v>
      </c>
      <c r="BI1" s="6" t="s">
        <v>287</v>
      </c>
    </row>
    <row r="2" spans="1:66" s="13" customFormat="1">
      <c r="A2" s="7"/>
      <c r="B2" s="7" t="s">
        <v>636</v>
      </c>
      <c r="C2" s="8"/>
      <c r="D2" s="8"/>
      <c r="E2" s="9"/>
      <c r="F2" s="9"/>
      <c r="G2" s="9"/>
      <c r="H2" s="11"/>
      <c r="I2" s="11"/>
      <c r="J2" s="11"/>
      <c r="K2" s="11"/>
      <c r="L2" s="9"/>
      <c r="M2" s="9"/>
      <c r="N2" s="9"/>
      <c r="O2" s="11"/>
      <c r="P2" s="11"/>
      <c r="Q2" s="11"/>
      <c r="R2" s="11"/>
      <c r="S2" s="12">
        <v>15</v>
      </c>
      <c r="T2" s="12">
        <v>15</v>
      </c>
      <c r="U2" s="12">
        <v>5</v>
      </c>
      <c r="V2" s="12">
        <v>5</v>
      </c>
      <c r="W2" s="36">
        <v>10</v>
      </c>
      <c r="X2" s="36">
        <v>8</v>
      </c>
      <c r="Y2" s="36">
        <v>4</v>
      </c>
      <c r="Z2" s="36">
        <v>5</v>
      </c>
      <c r="AA2" s="36">
        <v>2</v>
      </c>
      <c r="AB2" s="36">
        <v>7</v>
      </c>
      <c r="AC2" s="36">
        <v>4</v>
      </c>
      <c r="AD2" s="36">
        <v>2</v>
      </c>
      <c r="AE2" s="36">
        <v>6</v>
      </c>
      <c r="AF2" s="36">
        <v>4</v>
      </c>
      <c r="AG2" s="36">
        <v>3</v>
      </c>
      <c r="AH2" s="36">
        <v>5</v>
      </c>
      <c r="AI2" s="12">
        <f>SUM(L2:AH2)</f>
        <v>100</v>
      </c>
      <c r="AJ2" s="32"/>
      <c r="AM2" s="13">
        <v>3</v>
      </c>
      <c r="AN2" s="13">
        <v>4</v>
      </c>
      <c r="AO2" s="13">
        <v>1</v>
      </c>
      <c r="AP2" s="13">
        <v>3</v>
      </c>
      <c r="AQ2" s="13">
        <v>1</v>
      </c>
      <c r="AR2" s="13">
        <v>2</v>
      </c>
      <c r="AS2" s="13">
        <v>3</v>
      </c>
      <c r="AT2" s="13">
        <v>4</v>
      </c>
      <c r="AU2" s="13">
        <v>5</v>
      </c>
      <c r="AV2" s="13" t="s">
        <v>613</v>
      </c>
      <c r="AW2" s="13">
        <v>1</v>
      </c>
      <c r="AX2" s="13">
        <v>2</v>
      </c>
      <c r="AY2" s="13">
        <v>3</v>
      </c>
      <c r="AZ2" s="13">
        <v>4</v>
      </c>
      <c r="BA2" s="13">
        <v>5</v>
      </c>
      <c r="BB2" s="13" t="s">
        <v>613</v>
      </c>
      <c r="BC2" s="13">
        <v>1</v>
      </c>
      <c r="BD2" s="13">
        <v>2</v>
      </c>
      <c r="BE2" s="13">
        <v>3</v>
      </c>
      <c r="BF2" s="13">
        <v>4</v>
      </c>
      <c r="BG2" s="13">
        <v>5</v>
      </c>
      <c r="BH2" s="13" t="s">
        <v>613</v>
      </c>
      <c r="BI2" s="13">
        <v>1</v>
      </c>
      <c r="BJ2" s="13">
        <v>2</v>
      </c>
      <c r="BK2" s="13">
        <v>3</v>
      </c>
      <c r="BL2" s="13">
        <v>4</v>
      </c>
      <c r="BM2" s="13">
        <v>5</v>
      </c>
      <c r="BN2" s="13" t="s">
        <v>613</v>
      </c>
    </row>
    <row r="3" spans="1:66">
      <c r="A3" s="14" t="s">
        <v>99</v>
      </c>
      <c r="B3" s="14" t="s">
        <v>126</v>
      </c>
      <c r="C3" s="101" t="s">
        <v>269</v>
      </c>
      <c r="D3" s="101">
        <v>4</v>
      </c>
      <c r="E3" s="16">
        <v>0.55902777777777779</v>
      </c>
      <c r="F3" s="16">
        <v>0.57636574074074076</v>
      </c>
      <c r="G3" s="16">
        <v>0.64893518518518511</v>
      </c>
      <c r="H3" s="18">
        <f t="shared" ref="H3:H27" si="0">F3-E3</f>
        <v>1.7337962962962972E-2</v>
      </c>
      <c r="I3" s="18">
        <f t="shared" ref="I3:I22" si="1">H3-MIN(H$3:H$22)</f>
        <v>0</v>
      </c>
      <c r="J3" s="18">
        <f>G3-E3</f>
        <v>8.9907407407407325E-2</v>
      </c>
      <c r="K3" s="18">
        <v>0.1111111111111111</v>
      </c>
      <c r="L3" s="16">
        <v>0.3263888888888889</v>
      </c>
      <c r="M3" s="16">
        <v>0.34924768518518517</v>
      </c>
      <c r="N3" s="16">
        <v>0.46192129629629625</v>
      </c>
      <c r="O3" s="18">
        <f t="shared" ref="O3:O27" si="2">M3-L3</f>
        <v>2.285879629629628E-2</v>
      </c>
      <c r="P3" s="18">
        <f t="shared" ref="P3:P22" si="3">O3-MIN(O$3:O$22)</f>
        <v>0</v>
      </c>
      <c r="Q3" s="18">
        <f t="shared" ref="Q3:Q9" si="4">N3-L3</f>
        <v>0.13553240740740735</v>
      </c>
      <c r="R3" s="18">
        <v>0.15277777777777776</v>
      </c>
      <c r="S3" s="19">
        <f>ROUND(MAX(S$2-I3*60*24*0.5,0),1)</f>
        <v>15</v>
      </c>
      <c r="T3" s="19">
        <f>ROUND(MAX(T$2-P3*60*24*0.5,0),1)</f>
        <v>15</v>
      </c>
      <c r="U3" s="19">
        <f>ROUND(MAX(MIN(U$2+(K3-J3)*60*24*0.2,$U$2),0),1)</f>
        <v>5</v>
      </c>
      <c r="V3" s="19">
        <f>ROUND(MAX(MIN($V$2+(R3-Q3)*60*24*0.2,$V$2),0),1)</f>
        <v>5</v>
      </c>
      <c r="W3" s="37">
        <v>10</v>
      </c>
      <c r="X3" s="37">
        <v>8</v>
      </c>
      <c r="Y3" s="37">
        <v>4</v>
      </c>
      <c r="Z3" s="37">
        <v>4.9000000000000004</v>
      </c>
      <c r="AA3" s="37">
        <v>2</v>
      </c>
      <c r="AB3" s="37">
        <f>SUM(AM3:AN3)</f>
        <v>7</v>
      </c>
      <c r="AC3" s="37">
        <v>3.8</v>
      </c>
      <c r="AD3" s="37">
        <v>1.8</v>
      </c>
      <c r="AE3" s="37">
        <v>6</v>
      </c>
      <c r="AF3" s="37">
        <f>SUM(AO3:AP3)</f>
        <v>4</v>
      </c>
      <c r="AG3" s="37">
        <v>3</v>
      </c>
      <c r="AH3" s="37">
        <v>5</v>
      </c>
      <c r="AI3" s="19">
        <f>SUM(S3:AH3)</f>
        <v>99.5</v>
      </c>
      <c r="AJ3" s="33">
        <f t="shared" ref="AJ3:AJ9" si="5">RANK(AI3,$AI$3:$AI$9)</f>
        <v>1</v>
      </c>
      <c r="AL3" s="22">
        <f t="shared" ref="AL3:AL9" si="6">RANK(I3,$I$3:$I$9,1)</f>
        <v>1</v>
      </c>
      <c r="AM3" s="43">
        <v>3</v>
      </c>
      <c r="AN3" s="43">
        <v>4</v>
      </c>
      <c r="AO3" s="43">
        <v>1</v>
      </c>
      <c r="AP3" s="43">
        <v>3</v>
      </c>
      <c r="AQ3" s="127">
        <v>12.85</v>
      </c>
      <c r="AR3" s="127">
        <v>10.7</v>
      </c>
      <c r="AS3" s="127">
        <v>12.25</v>
      </c>
      <c r="AT3" s="127">
        <v>12.65</v>
      </c>
      <c r="AU3" s="127"/>
      <c r="AV3" s="150">
        <f t="shared" ref="AV3:AV27" si="7">AVERAGE(AQ3:AU3)</f>
        <v>12.112499999999999</v>
      </c>
      <c r="AW3" s="127">
        <v>11.48</v>
      </c>
      <c r="AX3" s="127">
        <v>12.35</v>
      </c>
      <c r="AY3" s="127">
        <v>13</v>
      </c>
      <c r="AZ3" s="127">
        <v>12.82</v>
      </c>
      <c r="BB3" s="121">
        <f t="shared" ref="BB3:BB27" si="8">AVERAGE(AW3:AZ3)</f>
        <v>12.4125</v>
      </c>
      <c r="BC3" s="127">
        <v>11</v>
      </c>
      <c r="BD3" s="127">
        <v>12.2</v>
      </c>
      <c r="BE3" s="127">
        <v>10.35</v>
      </c>
      <c r="BF3" s="127">
        <v>11.85</v>
      </c>
      <c r="BH3" s="121">
        <f t="shared" ref="BH3:BH32" si="9">AVERAGE(BC3:BF3)</f>
        <v>11.35</v>
      </c>
      <c r="BI3" s="127">
        <v>10.3</v>
      </c>
      <c r="BJ3" s="127">
        <v>12.1</v>
      </c>
      <c r="BK3" s="127">
        <v>11</v>
      </c>
      <c r="BL3" s="127">
        <v>12.1</v>
      </c>
      <c r="BM3" s="127"/>
      <c r="BN3" s="121">
        <f t="shared" ref="BN3:BN27" si="10">AVERAGE(BI3:BL3)</f>
        <v>11.375</v>
      </c>
    </row>
    <row r="4" spans="1:66">
      <c r="A4" s="14" t="s">
        <v>99</v>
      </c>
      <c r="B4" s="14" t="s">
        <v>182</v>
      </c>
      <c r="C4" s="101" t="s">
        <v>270</v>
      </c>
      <c r="D4" s="102">
        <v>4</v>
      </c>
      <c r="E4" s="16">
        <v>0.55972222222222223</v>
      </c>
      <c r="F4" s="16">
        <v>0.59261574074074075</v>
      </c>
      <c r="G4" s="16">
        <v>0.64858796296296295</v>
      </c>
      <c r="H4" s="18">
        <f t="shared" si="0"/>
        <v>3.2893518518518516E-2</v>
      </c>
      <c r="I4" s="18">
        <f t="shared" si="1"/>
        <v>1.5555555555555545E-2</v>
      </c>
      <c r="J4" s="18">
        <f t="shared" ref="J4:J9" si="11">G4-E4</f>
        <v>8.8865740740740717E-2</v>
      </c>
      <c r="K4" s="18">
        <v>0.1111111111111111</v>
      </c>
      <c r="L4" s="16">
        <v>0.33055555555555555</v>
      </c>
      <c r="M4" s="16">
        <v>0.37246527777777777</v>
      </c>
      <c r="N4" s="16">
        <v>0.47537037037037039</v>
      </c>
      <c r="O4" s="18">
        <f t="shared" si="2"/>
        <v>4.1909722222222223E-2</v>
      </c>
      <c r="P4" s="18">
        <f t="shared" si="3"/>
        <v>1.9050925925925943E-2</v>
      </c>
      <c r="Q4" s="18">
        <f t="shared" si="4"/>
        <v>0.14481481481481484</v>
      </c>
      <c r="R4" s="18">
        <v>0.15277777777777776</v>
      </c>
      <c r="S4" s="19">
        <f t="shared" ref="S4:S22" si="12">ROUND(MAX(S$2-I4*60*24*0.5,0),1)</f>
        <v>3.8</v>
      </c>
      <c r="T4" s="19">
        <f t="shared" ref="T4:T22" si="13">ROUND(MAX(T$2-P4*60*24*0.5,0),1)</f>
        <v>1.3</v>
      </c>
      <c r="U4" s="19">
        <f t="shared" ref="U4:U22" si="14">ROUND(MAX(MIN(U$2+(K4-J4)*60*24*0.2,$U$2),0),1)</f>
        <v>5</v>
      </c>
      <c r="V4" s="19">
        <f t="shared" ref="V4:V22" si="15">ROUND(MAX(MIN($V$2+(R4-Q4)*60*24*0.2,$V$2),0),1)</f>
        <v>5</v>
      </c>
      <c r="W4" s="37">
        <v>7.2</v>
      </c>
      <c r="X4" s="37">
        <v>6.5</v>
      </c>
      <c r="Y4" s="37">
        <v>4</v>
      </c>
      <c r="Z4" s="37">
        <v>0</v>
      </c>
      <c r="AA4" s="37">
        <v>1</v>
      </c>
      <c r="AB4" s="37">
        <f t="shared" ref="AB4:AB27" si="16">SUM(AM4:AN4)</f>
        <v>0</v>
      </c>
      <c r="AC4" s="37">
        <v>2.6</v>
      </c>
      <c r="AD4" s="37">
        <v>0.8</v>
      </c>
      <c r="AE4" s="37">
        <v>4.5</v>
      </c>
      <c r="AF4" s="37">
        <f t="shared" ref="AF4:AF27" si="17">SUM(AO4:AP4)</f>
        <v>1</v>
      </c>
      <c r="AG4" s="37">
        <v>3</v>
      </c>
      <c r="AH4" s="37">
        <v>4</v>
      </c>
      <c r="AI4" s="19">
        <f t="shared" ref="AI4:AI9" si="18">SUM(S4:AH4)</f>
        <v>49.699999999999996</v>
      </c>
      <c r="AJ4" s="33">
        <f t="shared" si="5"/>
        <v>7</v>
      </c>
      <c r="AL4" s="22">
        <f t="shared" si="6"/>
        <v>7</v>
      </c>
      <c r="AM4" s="43">
        <v>0</v>
      </c>
      <c r="AN4" s="43">
        <v>0</v>
      </c>
      <c r="AO4" s="43">
        <v>0.5</v>
      </c>
      <c r="AP4" s="43">
        <v>0.5</v>
      </c>
      <c r="AQ4" s="127">
        <v>12.8</v>
      </c>
      <c r="AR4" s="127">
        <v>10.1</v>
      </c>
      <c r="AS4" s="127">
        <v>13.6</v>
      </c>
      <c r="AT4" s="127">
        <v>14</v>
      </c>
      <c r="AU4" s="127"/>
      <c r="AV4" s="150">
        <f t="shared" si="7"/>
        <v>12.625</v>
      </c>
      <c r="AW4" s="127">
        <v>13.38</v>
      </c>
      <c r="AX4" s="127">
        <v>12.67</v>
      </c>
      <c r="AY4" s="127">
        <v>13.39</v>
      </c>
      <c r="AZ4" s="127">
        <v>9.93</v>
      </c>
      <c r="BB4" s="121">
        <f t="shared" si="8"/>
        <v>12.342499999999999</v>
      </c>
      <c r="BC4" s="127">
        <v>13.75</v>
      </c>
      <c r="BD4" s="127">
        <v>11.2</v>
      </c>
      <c r="BE4" s="127">
        <v>11.5</v>
      </c>
      <c r="BF4" s="127">
        <v>9.75</v>
      </c>
      <c r="BH4" s="121">
        <f t="shared" si="9"/>
        <v>11.55</v>
      </c>
      <c r="BI4" s="127">
        <v>14.05</v>
      </c>
      <c r="BJ4" s="127">
        <v>9.4</v>
      </c>
      <c r="BK4" s="127">
        <v>11.15</v>
      </c>
      <c r="BL4" s="127">
        <v>11</v>
      </c>
      <c r="BM4" s="127"/>
      <c r="BN4" s="121">
        <f t="shared" si="10"/>
        <v>11.4</v>
      </c>
    </row>
    <row r="5" spans="1:66">
      <c r="A5" s="14" t="s">
        <v>99</v>
      </c>
      <c r="B5" s="14" t="s">
        <v>590</v>
      </c>
      <c r="C5" s="101" t="s">
        <v>271</v>
      </c>
      <c r="D5" s="101">
        <v>4</v>
      </c>
      <c r="E5" s="16">
        <v>0.56041666666666667</v>
      </c>
      <c r="F5" s="16">
        <v>0.59063657407407411</v>
      </c>
      <c r="G5" s="16">
        <v>0.64017361111111104</v>
      </c>
      <c r="H5" s="18">
        <f t="shared" si="0"/>
        <v>3.0219907407407431E-2</v>
      </c>
      <c r="I5" s="18">
        <f t="shared" si="1"/>
        <v>1.288194444444446E-2</v>
      </c>
      <c r="J5" s="18">
        <f t="shared" si="11"/>
        <v>7.9756944444444366E-2</v>
      </c>
      <c r="K5" s="18">
        <v>0.1111111111111111</v>
      </c>
      <c r="L5" s="16">
        <v>0.32916666666666666</v>
      </c>
      <c r="M5" s="16">
        <v>0.36724537037037036</v>
      </c>
      <c r="N5" s="16">
        <v>0.45065972222222223</v>
      </c>
      <c r="O5" s="18">
        <f t="shared" si="2"/>
        <v>3.8078703703703698E-2</v>
      </c>
      <c r="P5" s="18">
        <f t="shared" si="3"/>
        <v>1.5219907407407418E-2</v>
      </c>
      <c r="Q5" s="18">
        <f t="shared" si="4"/>
        <v>0.12149305555555556</v>
      </c>
      <c r="R5" s="18">
        <v>0.15277777777777776</v>
      </c>
      <c r="S5" s="19">
        <f t="shared" si="12"/>
        <v>5.7</v>
      </c>
      <c r="T5" s="19">
        <f t="shared" si="13"/>
        <v>4</v>
      </c>
      <c r="U5" s="19">
        <f t="shared" si="14"/>
        <v>5</v>
      </c>
      <c r="V5" s="19">
        <f t="shared" si="15"/>
        <v>5</v>
      </c>
      <c r="W5" s="37">
        <v>6.9</v>
      </c>
      <c r="X5" s="37">
        <v>7.8</v>
      </c>
      <c r="Y5" s="37">
        <v>4</v>
      </c>
      <c r="Z5" s="37">
        <v>3.6</v>
      </c>
      <c r="AA5" s="37">
        <v>0.8</v>
      </c>
      <c r="AB5" s="37">
        <f t="shared" si="16"/>
        <v>2.5</v>
      </c>
      <c r="AC5" s="37">
        <v>2.6</v>
      </c>
      <c r="AD5" s="37">
        <v>1.2</v>
      </c>
      <c r="AE5" s="37">
        <v>5.6</v>
      </c>
      <c r="AF5" s="37">
        <f t="shared" si="17"/>
        <v>1.7</v>
      </c>
      <c r="AG5" s="37">
        <v>3</v>
      </c>
      <c r="AH5" s="37">
        <v>4.5</v>
      </c>
      <c r="AI5" s="19">
        <f t="shared" si="18"/>
        <v>63.900000000000006</v>
      </c>
      <c r="AJ5" s="33">
        <f t="shared" si="5"/>
        <v>5</v>
      </c>
      <c r="AL5" s="22">
        <f t="shared" si="6"/>
        <v>6</v>
      </c>
      <c r="AM5" s="43">
        <v>2.5</v>
      </c>
      <c r="AN5" s="43">
        <v>0</v>
      </c>
      <c r="AO5" s="43">
        <v>0.5</v>
      </c>
      <c r="AP5" s="43">
        <v>1.2</v>
      </c>
      <c r="AQ5" s="127">
        <v>15</v>
      </c>
      <c r="AR5" s="127">
        <v>13.5</v>
      </c>
      <c r="AS5" s="127">
        <v>13.55</v>
      </c>
      <c r="AT5" s="127">
        <v>13.05</v>
      </c>
      <c r="AU5" s="127"/>
      <c r="AV5" s="150">
        <f t="shared" si="7"/>
        <v>13.774999999999999</v>
      </c>
      <c r="AW5" s="127">
        <v>13.68</v>
      </c>
      <c r="AX5" s="127">
        <v>13.57</v>
      </c>
      <c r="AY5" s="127">
        <v>14.97</v>
      </c>
      <c r="AZ5" s="127">
        <v>12.98</v>
      </c>
      <c r="BB5" s="121">
        <f t="shared" si="8"/>
        <v>13.8</v>
      </c>
      <c r="BC5" s="127">
        <v>10</v>
      </c>
      <c r="BD5" s="127">
        <v>12.4</v>
      </c>
      <c r="BE5" s="127">
        <v>12.15</v>
      </c>
      <c r="BF5" s="127">
        <v>11.15</v>
      </c>
      <c r="BH5" s="121">
        <f t="shared" si="9"/>
        <v>11.424999999999999</v>
      </c>
      <c r="BI5" s="127">
        <v>10.5</v>
      </c>
      <c r="BJ5" s="127">
        <v>11.65</v>
      </c>
      <c r="BK5" s="127">
        <v>12.3</v>
      </c>
      <c r="BL5" s="127">
        <v>10.85</v>
      </c>
      <c r="BM5" s="127"/>
      <c r="BN5" s="121">
        <f t="shared" si="10"/>
        <v>11.325000000000001</v>
      </c>
    </row>
    <row r="6" spans="1:66">
      <c r="A6" s="14" t="s">
        <v>99</v>
      </c>
      <c r="B6" s="14" t="s">
        <v>123</v>
      </c>
      <c r="C6" s="101" t="s">
        <v>273</v>
      </c>
      <c r="D6" s="101">
        <v>4</v>
      </c>
      <c r="E6" s="16">
        <v>0.56111111111111112</v>
      </c>
      <c r="F6" s="16">
        <v>0.5821412037037037</v>
      </c>
      <c r="G6" s="16">
        <v>0.65561342592592597</v>
      </c>
      <c r="H6" s="18">
        <f t="shared" si="0"/>
        <v>2.1030092592592586E-2</v>
      </c>
      <c r="I6" s="18">
        <f t="shared" si="1"/>
        <v>3.6921296296296147E-3</v>
      </c>
      <c r="J6" s="18">
        <f t="shared" si="11"/>
        <v>9.4502314814814858E-2</v>
      </c>
      <c r="K6" s="18">
        <v>0.1111111111111111</v>
      </c>
      <c r="L6" s="16">
        <v>0.32708333333333334</v>
      </c>
      <c r="M6" s="16">
        <v>0.35236111111111112</v>
      </c>
      <c r="N6" s="16">
        <v>0.45150462962962962</v>
      </c>
      <c r="O6" s="18">
        <f t="shared" si="2"/>
        <v>2.5277777777777788E-2</v>
      </c>
      <c r="P6" s="18">
        <f t="shared" si="3"/>
        <v>2.418981481481508E-3</v>
      </c>
      <c r="Q6" s="18">
        <f t="shared" si="4"/>
        <v>0.12442129629629628</v>
      </c>
      <c r="R6" s="18">
        <v>0.15277777777777776</v>
      </c>
      <c r="S6" s="19">
        <f t="shared" si="12"/>
        <v>12.3</v>
      </c>
      <c r="T6" s="19">
        <f t="shared" si="13"/>
        <v>13.3</v>
      </c>
      <c r="U6" s="19">
        <f t="shared" si="14"/>
        <v>5</v>
      </c>
      <c r="V6" s="19">
        <f t="shared" si="15"/>
        <v>5</v>
      </c>
      <c r="W6" s="37">
        <v>9.6</v>
      </c>
      <c r="X6" s="37">
        <v>8</v>
      </c>
      <c r="Y6" s="37">
        <v>4</v>
      </c>
      <c r="Z6" s="37">
        <v>4.0999999999999996</v>
      </c>
      <c r="AA6" s="37">
        <v>1.8</v>
      </c>
      <c r="AB6" s="37">
        <f t="shared" si="16"/>
        <v>5</v>
      </c>
      <c r="AC6" s="37">
        <v>3.8</v>
      </c>
      <c r="AD6" s="37">
        <v>2</v>
      </c>
      <c r="AE6" s="37">
        <v>5.9</v>
      </c>
      <c r="AF6" s="37">
        <f t="shared" si="17"/>
        <v>3.5</v>
      </c>
      <c r="AG6" s="37">
        <v>3</v>
      </c>
      <c r="AH6" s="37">
        <v>5</v>
      </c>
      <c r="AI6" s="19">
        <f t="shared" si="18"/>
        <v>91.3</v>
      </c>
      <c r="AJ6" s="33">
        <f t="shared" si="5"/>
        <v>2</v>
      </c>
      <c r="AL6" s="22">
        <f t="shared" si="6"/>
        <v>2</v>
      </c>
      <c r="AM6" s="43">
        <v>3</v>
      </c>
      <c r="AN6" s="43">
        <v>2</v>
      </c>
      <c r="AO6" s="43">
        <v>1</v>
      </c>
      <c r="AP6" s="43">
        <v>2.5</v>
      </c>
      <c r="AQ6" s="127">
        <v>13.4</v>
      </c>
      <c r="AR6" s="127">
        <v>12.75</v>
      </c>
      <c r="AS6" s="127">
        <v>12.95</v>
      </c>
      <c r="AT6" s="127">
        <v>12.05</v>
      </c>
      <c r="AU6" s="127"/>
      <c r="AV6" s="150">
        <f t="shared" si="7"/>
        <v>12.787499999999998</v>
      </c>
      <c r="AW6" s="127">
        <v>13.54</v>
      </c>
      <c r="AX6" s="127">
        <v>13.06</v>
      </c>
      <c r="AY6" s="127">
        <v>12.89</v>
      </c>
      <c r="AZ6" s="127">
        <v>12.19</v>
      </c>
      <c r="BB6" s="121">
        <f t="shared" si="8"/>
        <v>12.92</v>
      </c>
      <c r="BC6" s="127">
        <v>11</v>
      </c>
      <c r="BD6" s="127">
        <v>12</v>
      </c>
      <c r="BE6" s="127">
        <v>12.65</v>
      </c>
      <c r="BF6" s="127">
        <v>11.6</v>
      </c>
      <c r="BH6" s="121">
        <f t="shared" si="9"/>
        <v>11.8125</v>
      </c>
      <c r="BI6" s="127">
        <v>11.6</v>
      </c>
      <c r="BJ6" s="127">
        <v>11.05</v>
      </c>
      <c r="BK6" s="127">
        <v>12.1</v>
      </c>
      <c r="BL6" s="127">
        <v>12.05</v>
      </c>
      <c r="BM6" s="127"/>
      <c r="BN6" s="121">
        <f t="shared" si="10"/>
        <v>11.7</v>
      </c>
    </row>
    <row r="7" spans="1:66">
      <c r="A7" s="14" t="s">
        <v>99</v>
      </c>
      <c r="B7" s="14" t="s">
        <v>624</v>
      </c>
      <c r="C7" s="101" t="s">
        <v>274</v>
      </c>
      <c r="D7" s="101">
        <v>4</v>
      </c>
      <c r="E7" s="16">
        <v>0.56180555555555556</v>
      </c>
      <c r="F7" s="16">
        <v>0.58634259259259258</v>
      </c>
      <c r="G7" s="16">
        <v>0.65165509259259258</v>
      </c>
      <c r="H7" s="18">
        <f t="shared" si="0"/>
        <v>2.4537037037037024E-2</v>
      </c>
      <c r="I7" s="18">
        <f t="shared" si="1"/>
        <v>7.1990740740740522E-3</v>
      </c>
      <c r="J7" s="18">
        <f t="shared" si="11"/>
        <v>8.9849537037037019E-2</v>
      </c>
      <c r="K7" s="18">
        <v>0.1111111111111111</v>
      </c>
      <c r="L7" s="16">
        <v>0.32777777777777778</v>
      </c>
      <c r="M7" s="16">
        <v>0.35873842592592592</v>
      </c>
      <c r="N7" s="16">
        <v>0.46620370370370368</v>
      </c>
      <c r="O7" s="18">
        <f t="shared" si="2"/>
        <v>3.096064814814814E-2</v>
      </c>
      <c r="P7" s="18">
        <f t="shared" si="3"/>
        <v>8.1018518518518601E-3</v>
      </c>
      <c r="Q7" s="18">
        <f t="shared" si="4"/>
        <v>0.1384259259259259</v>
      </c>
      <c r="R7" s="18">
        <v>0.15277777777777776</v>
      </c>
      <c r="S7" s="19">
        <f t="shared" si="12"/>
        <v>9.8000000000000007</v>
      </c>
      <c r="T7" s="19">
        <f t="shared" si="13"/>
        <v>9.1999999999999993</v>
      </c>
      <c r="U7" s="19">
        <f t="shared" si="14"/>
        <v>5</v>
      </c>
      <c r="V7" s="19">
        <f t="shared" si="15"/>
        <v>5</v>
      </c>
      <c r="W7" s="37">
        <v>9.8000000000000007</v>
      </c>
      <c r="X7" s="37">
        <v>7.8</v>
      </c>
      <c r="Y7" s="37">
        <v>3.8</v>
      </c>
      <c r="Z7" s="37">
        <v>0.8</v>
      </c>
      <c r="AA7" s="37">
        <v>1</v>
      </c>
      <c r="AB7" s="37">
        <f t="shared" si="16"/>
        <v>2</v>
      </c>
      <c r="AC7" s="37">
        <v>2.4</v>
      </c>
      <c r="AD7" s="37">
        <v>2</v>
      </c>
      <c r="AE7" s="37">
        <v>5.9</v>
      </c>
      <c r="AF7" s="37">
        <f t="shared" si="17"/>
        <v>2.2999999999999998</v>
      </c>
      <c r="AG7" s="37">
        <v>2.5</v>
      </c>
      <c r="AH7" s="37">
        <v>5</v>
      </c>
      <c r="AI7" s="19">
        <f t="shared" si="18"/>
        <v>74.299999999999983</v>
      </c>
      <c r="AJ7" s="33">
        <f t="shared" si="5"/>
        <v>3</v>
      </c>
      <c r="AL7" s="22">
        <f t="shared" si="6"/>
        <v>4</v>
      </c>
      <c r="AM7" s="43">
        <v>0.5</v>
      </c>
      <c r="AN7" s="43">
        <v>1.5</v>
      </c>
      <c r="AO7" s="43">
        <v>0.5</v>
      </c>
      <c r="AP7" s="43">
        <v>1.8</v>
      </c>
      <c r="AQ7" s="127">
        <v>13.15</v>
      </c>
      <c r="AR7" s="127">
        <v>14</v>
      </c>
      <c r="AS7" s="127">
        <v>11.4</v>
      </c>
      <c r="AT7" s="127">
        <v>12.5</v>
      </c>
      <c r="AU7" s="127"/>
      <c r="AV7" s="150">
        <f t="shared" si="7"/>
        <v>12.762499999999999</v>
      </c>
      <c r="AW7" s="127">
        <v>12.89</v>
      </c>
      <c r="AX7" s="127">
        <v>12.54</v>
      </c>
      <c r="AY7" s="127">
        <v>14.07</v>
      </c>
      <c r="AZ7" s="127">
        <v>11.34</v>
      </c>
      <c r="BB7" s="121">
        <f t="shared" si="8"/>
        <v>12.71</v>
      </c>
      <c r="BC7" s="127">
        <v>12.3</v>
      </c>
      <c r="BD7" s="127">
        <v>11.6</v>
      </c>
      <c r="BE7" s="127">
        <v>11.85</v>
      </c>
      <c r="BF7" s="127">
        <v>11.75</v>
      </c>
      <c r="BH7" s="121">
        <f t="shared" si="9"/>
        <v>11.875</v>
      </c>
      <c r="BI7" s="127">
        <v>12.4</v>
      </c>
      <c r="BJ7" s="127">
        <v>11.75</v>
      </c>
      <c r="BK7" s="127">
        <v>11.7</v>
      </c>
      <c r="BL7" s="127">
        <v>11.35</v>
      </c>
      <c r="BM7" s="127"/>
      <c r="BN7" s="121">
        <f t="shared" si="10"/>
        <v>11.799999999999999</v>
      </c>
    </row>
    <row r="8" spans="1:66">
      <c r="A8" s="14" t="s">
        <v>99</v>
      </c>
      <c r="B8" s="161" t="s">
        <v>179</v>
      </c>
      <c r="C8" s="101" t="s">
        <v>275</v>
      </c>
      <c r="D8" s="101">
        <v>4</v>
      </c>
      <c r="E8" s="16">
        <v>0.5625</v>
      </c>
      <c r="F8" s="162">
        <v>0.58696759259259257</v>
      </c>
      <c r="G8" s="162">
        <v>0.65149305555555559</v>
      </c>
      <c r="H8" s="18">
        <f t="shared" si="0"/>
        <v>2.4467592592592569E-2</v>
      </c>
      <c r="I8" s="18">
        <f t="shared" si="1"/>
        <v>7.1296296296295969E-3</v>
      </c>
      <c r="J8" s="18">
        <f>G8-E8</f>
        <v>8.8993055555555589E-2</v>
      </c>
      <c r="K8" s="18">
        <v>0.1111111111111111</v>
      </c>
      <c r="L8" s="162">
        <v>0.32847222222222222</v>
      </c>
      <c r="M8" s="162">
        <v>0.3616550925925926</v>
      </c>
      <c r="N8" s="162">
        <v>0.46978009259259257</v>
      </c>
      <c r="O8" s="18">
        <f>M8-L8</f>
        <v>3.3182870370370376E-2</v>
      </c>
      <c r="P8" s="18">
        <f t="shared" si="3"/>
        <v>1.0324074074074097E-2</v>
      </c>
      <c r="Q8" s="18">
        <f>N8-L8</f>
        <v>0.14130787037037035</v>
      </c>
      <c r="R8" s="18">
        <v>0.15277777777777776</v>
      </c>
      <c r="S8" s="19">
        <f>ROUND(MAX(S$2-I8*60*24*0.5,0),1)-0.1</f>
        <v>9.8000000000000007</v>
      </c>
      <c r="T8" s="19">
        <f t="shared" si="13"/>
        <v>7.6</v>
      </c>
      <c r="U8" s="19">
        <f t="shared" si="14"/>
        <v>5</v>
      </c>
      <c r="V8" s="19">
        <f t="shared" si="15"/>
        <v>5</v>
      </c>
      <c r="W8" s="163">
        <v>9.6</v>
      </c>
      <c r="X8" s="163">
        <v>7.5</v>
      </c>
      <c r="Y8" s="163">
        <v>3.4</v>
      </c>
      <c r="Z8" s="163">
        <v>2.1</v>
      </c>
      <c r="AA8" s="163">
        <v>0.6</v>
      </c>
      <c r="AB8" s="163">
        <f t="shared" si="16"/>
        <v>5</v>
      </c>
      <c r="AC8" s="163">
        <v>2.4</v>
      </c>
      <c r="AD8" s="163">
        <v>1.4</v>
      </c>
      <c r="AE8" s="163">
        <v>4.9000000000000004</v>
      </c>
      <c r="AF8" s="163">
        <f t="shared" si="17"/>
        <v>2.2000000000000002</v>
      </c>
      <c r="AG8" s="163">
        <v>2.5</v>
      </c>
      <c r="AH8" s="163">
        <v>4.5</v>
      </c>
      <c r="AI8" s="19">
        <f t="shared" si="18"/>
        <v>73.5</v>
      </c>
      <c r="AJ8" s="33">
        <f t="shared" si="5"/>
        <v>4</v>
      </c>
      <c r="AK8" s="22" t="s">
        <v>640</v>
      </c>
      <c r="AL8" s="22">
        <f t="shared" si="6"/>
        <v>3</v>
      </c>
      <c r="AM8" s="43">
        <v>3</v>
      </c>
      <c r="AN8" s="43">
        <v>2</v>
      </c>
      <c r="AO8" s="43">
        <v>0.5</v>
      </c>
      <c r="AP8" s="43">
        <v>1.7</v>
      </c>
      <c r="AQ8" s="127">
        <v>12.3</v>
      </c>
      <c r="AR8" s="127">
        <v>12.3</v>
      </c>
      <c r="AS8" s="127">
        <v>11.95</v>
      </c>
      <c r="AT8" s="127">
        <v>11.55</v>
      </c>
      <c r="AU8" s="127"/>
      <c r="AV8" s="150">
        <f t="shared" si="7"/>
        <v>12.024999999999999</v>
      </c>
      <c r="AW8" s="127">
        <v>11.84</v>
      </c>
      <c r="AX8" s="127">
        <v>12.37</v>
      </c>
      <c r="AY8" s="127">
        <v>12.15</v>
      </c>
      <c r="AZ8" s="127">
        <v>11.41</v>
      </c>
      <c r="BB8" s="121">
        <f t="shared" si="8"/>
        <v>11.942499999999999</v>
      </c>
      <c r="BC8" s="127">
        <v>11.85</v>
      </c>
      <c r="BD8" s="127">
        <v>10.7</v>
      </c>
      <c r="BE8" s="127">
        <v>11.75</v>
      </c>
      <c r="BF8" s="127">
        <v>10.1</v>
      </c>
      <c r="BH8" s="121">
        <f t="shared" si="9"/>
        <v>11.1</v>
      </c>
      <c r="BI8" s="127">
        <v>11.95</v>
      </c>
      <c r="BJ8" s="127">
        <v>10.5</v>
      </c>
      <c r="BK8" s="127">
        <v>10.65</v>
      </c>
      <c r="BL8" s="127">
        <v>11.7</v>
      </c>
      <c r="BM8" s="127"/>
      <c r="BN8" s="121">
        <f t="shared" si="10"/>
        <v>11.2</v>
      </c>
    </row>
    <row r="9" spans="1:66" ht="14.25" thickBot="1">
      <c r="A9" s="62" t="s">
        <v>99</v>
      </c>
      <c r="B9" s="62" t="s">
        <v>124</v>
      </c>
      <c r="C9" s="110" t="s">
        <v>276</v>
      </c>
      <c r="D9" s="110">
        <v>4</v>
      </c>
      <c r="E9" s="16">
        <v>0.563194444444444</v>
      </c>
      <c r="F9" s="64">
        <v>0.59222222222222221</v>
      </c>
      <c r="G9" s="64">
        <v>0.65797453703703701</v>
      </c>
      <c r="H9" s="66">
        <f t="shared" si="0"/>
        <v>2.9027777777778208E-2</v>
      </c>
      <c r="I9" s="66">
        <f t="shared" si="1"/>
        <v>1.1689814814815236E-2</v>
      </c>
      <c r="J9" s="66">
        <f t="shared" si="11"/>
        <v>9.4780092592593013E-2</v>
      </c>
      <c r="K9" s="66">
        <v>0.1111111111111111</v>
      </c>
      <c r="L9" s="64">
        <v>0.3298611111111111</v>
      </c>
      <c r="M9" s="64">
        <v>0.36789351851851854</v>
      </c>
      <c r="N9" s="64">
        <v>0.4692824074074074</v>
      </c>
      <c r="O9" s="66">
        <f t="shared" si="2"/>
        <v>3.8032407407407431E-2</v>
      </c>
      <c r="P9" s="66">
        <f t="shared" si="3"/>
        <v>1.5173611111111152E-2</v>
      </c>
      <c r="Q9" s="66">
        <f t="shared" si="4"/>
        <v>0.13942129629629629</v>
      </c>
      <c r="R9" s="66">
        <v>0.15277777777777776</v>
      </c>
      <c r="S9" s="67">
        <f t="shared" si="12"/>
        <v>6.6</v>
      </c>
      <c r="T9" s="67">
        <f t="shared" si="13"/>
        <v>4.0999999999999996</v>
      </c>
      <c r="U9" s="67">
        <f t="shared" si="14"/>
        <v>5</v>
      </c>
      <c r="V9" s="67">
        <f t="shared" si="15"/>
        <v>5</v>
      </c>
      <c r="W9" s="68">
        <v>5.4</v>
      </c>
      <c r="X9" s="68">
        <v>7.5</v>
      </c>
      <c r="Y9" s="68">
        <v>3.6</v>
      </c>
      <c r="Z9" s="68">
        <v>3.1</v>
      </c>
      <c r="AA9" s="68">
        <v>2</v>
      </c>
      <c r="AB9" s="68">
        <f t="shared" si="16"/>
        <v>3.5</v>
      </c>
      <c r="AC9" s="68">
        <v>2.6</v>
      </c>
      <c r="AD9" s="68">
        <v>1.6</v>
      </c>
      <c r="AE9" s="68">
        <v>3.7</v>
      </c>
      <c r="AF9" s="68">
        <f t="shared" si="17"/>
        <v>2.2000000000000002</v>
      </c>
      <c r="AG9" s="68">
        <v>2</v>
      </c>
      <c r="AH9" s="68">
        <v>2.5</v>
      </c>
      <c r="AI9" s="67">
        <f t="shared" si="18"/>
        <v>60.400000000000013</v>
      </c>
      <c r="AJ9" s="111">
        <f t="shared" si="5"/>
        <v>6</v>
      </c>
      <c r="AL9" s="22">
        <f t="shared" si="6"/>
        <v>5</v>
      </c>
      <c r="AM9" s="43">
        <v>2</v>
      </c>
      <c r="AN9" s="43">
        <v>1.5</v>
      </c>
      <c r="AO9" s="43">
        <v>1</v>
      </c>
      <c r="AP9" s="43">
        <v>1.2</v>
      </c>
      <c r="AQ9" s="127">
        <v>14.9</v>
      </c>
      <c r="AR9" s="127">
        <v>18.05</v>
      </c>
      <c r="AS9" s="127">
        <v>12.5</v>
      </c>
      <c r="AT9" s="127">
        <v>20.25</v>
      </c>
      <c r="AU9" s="127"/>
      <c r="AV9" s="150">
        <f t="shared" si="7"/>
        <v>16.425000000000001</v>
      </c>
      <c r="AW9" s="127">
        <v>14.71</v>
      </c>
      <c r="AX9" s="127">
        <v>18.829999999999998</v>
      </c>
      <c r="AY9" s="127">
        <v>12.34</v>
      </c>
      <c r="AZ9" s="127">
        <v>17.86</v>
      </c>
      <c r="BB9" s="121">
        <f t="shared" si="8"/>
        <v>15.934999999999999</v>
      </c>
      <c r="BC9" s="127">
        <v>14.65</v>
      </c>
      <c r="BD9" s="127">
        <v>15.2</v>
      </c>
      <c r="BE9" s="127">
        <v>14.7</v>
      </c>
      <c r="BF9" s="127">
        <v>11.85</v>
      </c>
      <c r="BH9" s="121">
        <f t="shared" si="9"/>
        <v>14.1</v>
      </c>
      <c r="BI9" s="127">
        <v>14.75</v>
      </c>
      <c r="BJ9" s="127">
        <v>14.75</v>
      </c>
      <c r="BK9" s="127">
        <v>11.5</v>
      </c>
      <c r="BL9" s="127">
        <v>15.65</v>
      </c>
      <c r="BM9" s="127"/>
      <c r="BN9" s="121">
        <f t="shared" si="10"/>
        <v>14.1625</v>
      </c>
    </row>
    <row r="10" spans="1:66">
      <c r="A10" s="44" t="s">
        <v>100</v>
      </c>
      <c r="B10" s="44" t="s">
        <v>185</v>
      </c>
      <c r="C10" s="107" t="s">
        <v>261</v>
      </c>
      <c r="D10" s="107">
        <v>4</v>
      </c>
      <c r="E10" s="46">
        <v>0.57291666666666663</v>
      </c>
      <c r="F10" s="46">
        <v>0.59171296296296294</v>
      </c>
      <c r="G10" s="46">
        <v>0.66469907407407403</v>
      </c>
      <c r="H10" s="48">
        <f>F10-E10</f>
        <v>1.8796296296296311E-2</v>
      </c>
      <c r="I10" s="48">
        <f t="shared" si="1"/>
        <v>1.4583333333333393E-3</v>
      </c>
      <c r="J10" s="48">
        <f>G10-E10</f>
        <v>9.1782407407407396E-2</v>
      </c>
      <c r="K10" s="48">
        <v>0.1111111111111111</v>
      </c>
      <c r="L10" s="46">
        <v>0.33124999999999999</v>
      </c>
      <c r="M10" s="46">
        <v>0.35546296296296293</v>
      </c>
      <c r="N10" s="46">
        <v>0.45789351851851851</v>
      </c>
      <c r="O10" s="48">
        <f t="shared" si="2"/>
        <v>2.4212962962962936E-2</v>
      </c>
      <c r="P10" s="48">
        <f t="shared" si="3"/>
        <v>1.3541666666666563E-3</v>
      </c>
      <c r="Q10" s="48">
        <f>N10-L10</f>
        <v>0.12664351851851852</v>
      </c>
      <c r="R10" s="48">
        <v>0.15277777777777776</v>
      </c>
      <c r="S10" s="49">
        <f t="shared" si="12"/>
        <v>14</v>
      </c>
      <c r="T10" s="49">
        <f t="shared" si="13"/>
        <v>14</v>
      </c>
      <c r="U10" s="49">
        <f t="shared" si="14"/>
        <v>5</v>
      </c>
      <c r="V10" s="49">
        <f t="shared" si="15"/>
        <v>5</v>
      </c>
      <c r="W10" s="50">
        <v>9.6</v>
      </c>
      <c r="X10" s="50">
        <v>8</v>
      </c>
      <c r="Y10" s="50">
        <v>4</v>
      </c>
      <c r="Z10" s="50">
        <v>4.9000000000000004</v>
      </c>
      <c r="AA10" s="50">
        <v>2</v>
      </c>
      <c r="AB10" s="50">
        <f t="shared" si="16"/>
        <v>7</v>
      </c>
      <c r="AC10" s="50">
        <v>3.8</v>
      </c>
      <c r="AD10" s="50">
        <v>1.6</v>
      </c>
      <c r="AE10" s="50">
        <v>6</v>
      </c>
      <c r="AF10" s="50">
        <f t="shared" si="17"/>
        <v>3.8</v>
      </c>
      <c r="AG10" s="50">
        <v>3</v>
      </c>
      <c r="AH10" s="50">
        <v>5</v>
      </c>
      <c r="AI10" s="49">
        <f>SUM(S10:AH10)</f>
        <v>96.699999999999989</v>
      </c>
      <c r="AJ10" s="51">
        <f>RANK(AI10,$AI$10:$AI$22)</f>
        <v>1</v>
      </c>
      <c r="AL10" s="22">
        <f>RANK(I10,$I$10:$I$22,1)</f>
        <v>1</v>
      </c>
      <c r="AM10" s="43">
        <v>3</v>
      </c>
      <c r="AN10" s="43">
        <v>4</v>
      </c>
      <c r="AO10" s="43">
        <v>1</v>
      </c>
      <c r="AP10" s="43">
        <v>2.8</v>
      </c>
      <c r="AQ10" s="149">
        <v>13.25</v>
      </c>
      <c r="AR10" s="149">
        <v>12.75</v>
      </c>
      <c r="AS10" s="149">
        <v>11.95</v>
      </c>
      <c r="AT10" s="149">
        <v>12.4</v>
      </c>
      <c r="AU10" s="127"/>
      <c r="AV10" s="150">
        <f t="shared" si="7"/>
        <v>12.5875</v>
      </c>
      <c r="AW10" s="149">
        <v>13.31</v>
      </c>
      <c r="AX10" s="149">
        <v>12.87</v>
      </c>
      <c r="AY10" s="149">
        <v>12.03</v>
      </c>
      <c r="AZ10" s="127">
        <v>12.44</v>
      </c>
      <c r="BB10" s="121">
        <f t="shared" si="8"/>
        <v>12.6625</v>
      </c>
      <c r="BC10" s="149">
        <v>12</v>
      </c>
      <c r="BD10" s="149">
        <v>12.5</v>
      </c>
      <c r="BE10" s="149">
        <v>9.6999999999999993</v>
      </c>
      <c r="BF10" s="127">
        <v>11.65</v>
      </c>
      <c r="BH10" s="121">
        <f t="shared" si="9"/>
        <v>11.4625</v>
      </c>
      <c r="BI10" s="149">
        <v>12</v>
      </c>
      <c r="BJ10" s="149">
        <v>12.55</v>
      </c>
      <c r="BK10" s="149">
        <v>9.75</v>
      </c>
      <c r="BL10" s="149">
        <v>11.7</v>
      </c>
      <c r="BM10" s="127"/>
      <c r="BN10" s="121">
        <f t="shared" si="10"/>
        <v>11.5</v>
      </c>
    </row>
    <row r="11" spans="1:66">
      <c r="A11" s="14" t="s">
        <v>100</v>
      </c>
      <c r="B11" s="14" t="s">
        <v>590</v>
      </c>
      <c r="C11" s="101" t="s">
        <v>262</v>
      </c>
      <c r="D11" s="101">
        <v>4</v>
      </c>
      <c r="E11" s="16">
        <v>0.57361111111111118</v>
      </c>
      <c r="F11" s="16">
        <v>0.60428240740740746</v>
      </c>
      <c r="G11" s="16">
        <v>0.65969907407407413</v>
      </c>
      <c r="H11" s="18">
        <f t="shared" si="0"/>
        <v>3.067129629629628E-2</v>
      </c>
      <c r="I11" s="18">
        <f t="shared" si="1"/>
        <v>1.3333333333333308E-2</v>
      </c>
      <c r="J11" s="18">
        <f t="shared" ref="J11:J27" si="19">G11-E11</f>
        <v>8.6087962962962949E-2</v>
      </c>
      <c r="K11" s="18">
        <v>0.1111111111111111</v>
      </c>
      <c r="L11" s="16">
        <v>0.33819444444444446</v>
      </c>
      <c r="M11" s="16">
        <v>0.38043981481481487</v>
      </c>
      <c r="N11" s="16">
        <v>0.46236111111111106</v>
      </c>
      <c r="O11" s="18">
        <f t="shared" si="2"/>
        <v>4.2245370370370405E-2</v>
      </c>
      <c r="P11" s="18">
        <f t="shared" si="3"/>
        <v>1.9386574074074125E-2</v>
      </c>
      <c r="Q11" s="18">
        <f t="shared" ref="Q11:Q22" si="20">N11-L11</f>
        <v>0.12416666666666659</v>
      </c>
      <c r="R11" s="18">
        <v>0.15277777777777776</v>
      </c>
      <c r="S11" s="19">
        <f t="shared" si="12"/>
        <v>5.4</v>
      </c>
      <c r="T11" s="19">
        <f t="shared" si="13"/>
        <v>1</v>
      </c>
      <c r="U11" s="19">
        <f t="shared" si="14"/>
        <v>5</v>
      </c>
      <c r="V11" s="19">
        <f t="shared" si="15"/>
        <v>5</v>
      </c>
      <c r="W11" s="37">
        <v>3.6</v>
      </c>
      <c r="X11" s="37">
        <v>6.1</v>
      </c>
      <c r="Y11" s="37">
        <v>3.8</v>
      </c>
      <c r="Z11" s="37">
        <v>0.5</v>
      </c>
      <c r="AA11" s="37">
        <v>1.2</v>
      </c>
      <c r="AB11" s="37">
        <f t="shared" si="16"/>
        <v>3</v>
      </c>
      <c r="AC11" s="37">
        <v>2</v>
      </c>
      <c r="AD11" s="37">
        <v>0.8</v>
      </c>
      <c r="AE11" s="37">
        <v>4.8</v>
      </c>
      <c r="AF11" s="37">
        <f t="shared" si="17"/>
        <v>1.2</v>
      </c>
      <c r="AG11" s="37">
        <v>2.5</v>
      </c>
      <c r="AH11" s="37">
        <v>4.5</v>
      </c>
      <c r="AI11" s="49">
        <f t="shared" ref="AI11:AI22" si="21">SUM(S11:AH11)</f>
        <v>50.4</v>
      </c>
      <c r="AJ11" s="51">
        <f t="shared" ref="AJ11:AJ22" si="22">RANK(AI11,$AI$10:$AI$22)</f>
        <v>10</v>
      </c>
      <c r="AL11" s="22">
        <f t="shared" ref="AL11:AL22" si="23">RANK(I11,$I$10:$I$22,1)</f>
        <v>10</v>
      </c>
      <c r="AM11" s="160">
        <v>2</v>
      </c>
      <c r="AN11" s="43">
        <v>1</v>
      </c>
      <c r="AO11" s="160">
        <v>0</v>
      </c>
      <c r="AP11" s="43">
        <v>1.2</v>
      </c>
      <c r="AQ11" s="149">
        <v>13.7</v>
      </c>
      <c r="AR11" s="149">
        <v>15.3</v>
      </c>
      <c r="AS11" s="149">
        <v>12.4</v>
      </c>
      <c r="AT11" s="149">
        <v>13.35</v>
      </c>
      <c r="AU11" s="149"/>
      <c r="AV11" s="150">
        <f t="shared" si="7"/>
        <v>13.6875</v>
      </c>
      <c r="AW11" s="149">
        <v>13.36</v>
      </c>
      <c r="AX11" s="149">
        <v>15.31</v>
      </c>
      <c r="AY11" s="149">
        <v>12.47</v>
      </c>
      <c r="AZ11" s="149">
        <v>12.98</v>
      </c>
      <c r="BA11" s="149"/>
      <c r="BB11" s="121">
        <f t="shared" si="8"/>
        <v>13.530000000000001</v>
      </c>
      <c r="BC11" s="149">
        <v>13.6</v>
      </c>
      <c r="BD11" s="149">
        <v>12.45</v>
      </c>
      <c r="BE11" s="149">
        <v>10.75</v>
      </c>
      <c r="BF11" s="149">
        <v>12.05</v>
      </c>
      <c r="BG11" s="149"/>
      <c r="BH11" s="121">
        <f t="shared" si="9"/>
        <v>12.212499999999999</v>
      </c>
      <c r="BI11" s="149">
        <v>13.15</v>
      </c>
      <c r="BJ11" s="149">
        <v>13.05</v>
      </c>
      <c r="BK11" s="149">
        <v>10.7</v>
      </c>
      <c r="BL11" s="149">
        <v>11.5</v>
      </c>
      <c r="BM11" s="149"/>
      <c r="BN11" s="121">
        <f t="shared" si="10"/>
        <v>12.100000000000001</v>
      </c>
    </row>
    <row r="12" spans="1:66">
      <c r="A12" s="14" t="s">
        <v>100</v>
      </c>
      <c r="B12" s="14" t="s">
        <v>124</v>
      </c>
      <c r="C12" s="101" t="s">
        <v>263</v>
      </c>
      <c r="D12" s="101">
        <v>3</v>
      </c>
      <c r="E12" s="46">
        <v>0.57430555555555596</v>
      </c>
      <c r="F12" s="16">
        <v>0.61259259259259258</v>
      </c>
      <c r="G12" s="16">
        <v>0.63318287037037035</v>
      </c>
      <c r="H12" s="18">
        <f t="shared" si="0"/>
        <v>3.828703703703662E-2</v>
      </c>
      <c r="I12" s="18">
        <f t="shared" si="1"/>
        <v>2.0949074074073648E-2</v>
      </c>
      <c r="J12" s="18">
        <f t="shared" si="19"/>
        <v>5.8877314814814397E-2</v>
      </c>
      <c r="K12" s="18">
        <v>0.1111111111111111</v>
      </c>
      <c r="L12" s="16">
        <v>0.33958333333333335</v>
      </c>
      <c r="M12" s="16">
        <v>0.40106481481481482</v>
      </c>
      <c r="N12" s="16">
        <v>0.48165509259259259</v>
      </c>
      <c r="O12" s="18">
        <f t="shared" si="2"/>
        <v>6.148148148148147E-2</v>
      </c>
      <c r="P12" s="18">
        <f t="shared" si="3"/>
        <v>3.862268518518519E-2</v>
      </c>
      <c r="Q12" s="18">
        <f t="shared" si="20"/>
        <v>0.14207175925925924</v>
      </c>
      <c r="R12" s="18">
        <v>0.15277777777777776</v>
      </c>
      <c r="S12" s="19">
        <f t="shared" si="12"/>
        <v>0</v>
      </c>
      <c r="T12" s="19">
        <f t="shared" si="13"/>
        <v>0</v>
      </c>
      <c r="U12" s="19">
        <f t="shared" si="14"/>
        <v>5</v>
      </c>
      <c r="V12" s="19">
        <f t="shared" si="15"/>
        <v>5</v>
      </c>
      <c r="W12" s="37">
        <v>3.8</v>
      </c>
      <c r="X12" s="37">
        <v>4.0999999999999996</v>
      </c>
      <c r="Y12" s="37">
        <v>4</v>
      </c>
      <c r="Z12" s="37">
        <v>2.2999999999999998</v>
      </c>
      <c r="AA12" s="37">
        <v>0.8</v>
      </c>
      <c r="AB12" s="37">
        <f t="shared" si="16"/>
        <v>1</v>
      </c>
      <c r="AC12" s="37">
        <v>3.4</v>
      </c>
      <c r="AD12" s="37">
        <v>0.6</v>
      </c>
      <c r="AE12" s="37">
        <v>3.9</v>
      </c>
      <c r="AF12" s="37">
        <f t="shared" si="17"/>
        <v>0.5</v>
      </c>
      <c r="AG12" s="37">
        <v>2.5</v>
      </c>
      <c r="AH12" s="37">
        <v>4</v>
      </c>
      <c r="AI12" s="49">
        <f t="shared" si="21"/>
        <v>40.9</v>
      </c>
      <c r="AJ12" s="51">
        <f t="shared" si="22"/>
        <v>13</v>
      </c>
      <c r="AL12" s="22">
        <f t="shared" si="23"/>
        <v>12</v>
      </c>
      <c r="AM12" s="43">
        <v>0</v>
      </c>
      <c r="AN12" s="43">
        <v>1</v>
      </c>
      <c r="AO12" s="43">
        <v>0.5</v>
      </c>
      <c r="AP12" s="43">
        <v>0</v>
      </c>
      <c r="AQ12" s="149">
        <v>11.6</v>
      </c>
      <c r="AR12" s="149">
        <v>16.350000000000001</v>
      </c>
      <c r="AS12" s="149">
        <v>17</v>
      </c>
      <c r="AT12" s="149"/>
      <c r="AU12" s="149"/>
      <c r="AV12" s="150">
        <f t="shared" si="7"/>
        <v>14.983333333333334</v>
      </c>
      <c r="AW12" s="149">
        <v>12.95</v>
      </c>
      <c r="AX12" s="149">
        <v>16.079999999999998</v>
      </c>
      <c r="AY12" s="149">
        <v>14.36</v>
      </c>
      <c r="AZ12" s="149"/>
      <c r="BA12" s="81"/>
      <c r="BB12" s="121">
        <f t="shared" si="8"/>
        <v>14.463333333333333</v>
      </c>
      <c r="BC12" s="149">
        <v>14.55</v>
      </c>
      <c r="BD12" s="149">
        <v>10.9</v>
      </c>
      <c r="BE12" s="149">
        <v>15.05</v>
      </c>
      <c r="BF12" s="149"/>
      <c r="BG12" s="81"/>
      <c r="BH12" s="121">
        <f t="shared" si="9"/>
        <v>13.5</v>
      </c>
      <c r="BI12" s="149">
        <v>10.75</v>
      </c>
      <c r="BJ12" s="149">
        <v>14.65</v>
      </c>
      <c r="BK12" s="149">
        <v>15</v>
      </c>
      <c r="BL12" s="149"/>
      <c r="BM12" s="149"/>
      <c r="BN12" s="121">
        <f t="shared" si="10"/>
        <v>13.466666666666667</v>
      </c>
    </row>
    <row r="13" spans="1:66">
      <c r="A13" s="14" t="s">
        <v>100</v>
      </c>
      <c r="B13" s="14" t="s">
        <v>625</v>
      </c>
      <c r="C13" s="101" t="s">
        <v>264</v>
      </c>
      <c r="D13" s="101">
        <v>4</v>
      </c>
      <c r="E13" s="16">
        <v>0.57499999999999996</v>
      </c>
      <c r="F13" s="16">
        <v>0.60988425925925926</v>
      </c>
      <c r="G13" s="16">
        <v>0.66336805555555556</v>
      </c>
      <c r="H13" s="18">
        <f t="shared" si="0"/>
        <v>3.4884259259259309E-2</v>
      </c>
      <c r="I13" s="18">
        <f t="shared" si="1"/>
        <v>1.7546296296296338E-2</v>
      </c>
      <c r="J13" s="18">
        <f t="shared" si="19"/>
        <v>8.8368055555555602E-2</v>
      </c>
      <c r="K13" s="18">
        <v>0.1111111111111111</v>
      </c>
      <c r="L13" s="16">
        <v>0.33680555555555558</v>
      </c>
      <c r="M13" s="16">
        <v>0.37895833333333334</v>
      </c>
      <c r="N13" s="16">
        <v>0.47269675925925925</v>
      </c>
      <c r="O13" s="18">
        <f t="shared" si="2"/>
        <v>4.2152777777777761E-2</v>
      </c>
      <c r="P13" s="18">
        <f t="shared" si="3"/>
        <v>1.9293981481481481E-2</v>
      </c>
      <c r="Q13" s="18">
        <f t="shared" si="20"/>
        <v>0.13589120370370367</v>
      </c>
      <c r="R13" s="18">
        <v>0.15277777777777776</v>
      </c>
      <c r="S13" s="19">
        <f t="shared" si="12"/>
        <v>2.4</v>
      </c>
      <c r="T13" s="19">
        <f t="shared" si="13"/>
        <v>1.1000000000000001</v>
      </c>
      <c r="U13" s="19">
        <f t="shared" si="14"/>
        <v>5</v>
      </c>
      <c r="V13" s="19">
        <f t="shared" si="15"/>
        <v>5</v>
      </c>
      <c r="W13" s="37">
        <v>8.9</v>
      </c>
      <c r="X13" s="37">
        <v>6.7</v>
      </c>
      <c r="Y13" s="37">
        <v>4</v>
      </c>
      <c r="Z13" s="37">
        <v>0</v>
      </c>
      <c r="AA13" s="37">
        <v>0.8</v>
      </c>
      <c r="AB13" s="37">
        <f t="shared" si="16"/>
        <v>2</v>
      </c>
      <c r="AC13" s="37">
        <v>2</v>
      </c>
      <c r="AD13" s="37">
        <v>1.4</v>
      </c>
      <c r="AE13" s="37">
        <v>5.4</v>
      </c>
      <c r="AF13" s="37">
        <f t="shared" si="17"/>
        <v>1.5</v>
      </c>
      <c r="AG13" s="37">
        <v>2.5</v>
      </c>
      <c r="AH13" s="37">
        <v>5</v>
      </c>
      <c r="AI13" s="49">
        <f t="shared" si="21"/>
        <v>53.699999999999989</v>
      </c>
      <c r="AJ13" s="51">
        <f t="shared" si="22"/>
        <v>9</v>
      </c>
      <c r="AL13" s="22">
        <f t="shared" si="23"/>
        <v>11</v>
      </c>
      <c r="AM13" s="160">
        <v>2</v>
      </c>
      <c r="AN13" s="43">
        <v>0</v>
      </c>
      <c r="AO13" s="160">
        <v>0.5</v>
      </c>
      <c r="AP13" s="43">
        <v>1</v>
      </c>
      <c r="AQ13" s="149">
        <v>12.45</v>
      </c>
      <c r="AR13" s="149">
        <v>13.65</v>
      </c>
      <c r="AS13" s="149">
        <v>14.75</v>
      </c>
      <c r="AT13" s="149">
        <v>14.4</v>
      </c>
      <c r="AU13" s="149"/>
      <c r="AV13" s="150">
        <f t="shared" si="7"/>
        <v>13.8125</v>
      </c>
      <c r="AW13" s="149">
        <v>16.12</v>
      </c>
      <c r="AX13" s="149">
        <v>12.31</v>
      </c>
      <c r="AY13" s="149">
        <v>11.75</v>
      </c>
      <c r="AZ13" s="149">
        <v>14.59</v>
      </c>
      <c r="BA13" s="149"/>
      <c r="BB13" s="121">
        <f t="shared" si="8"/>
        <v>13.692499999999999</v>
      </c>
      <c r="BC13" s="149">
        <v>11.15</v>
      </c>
      <c r="BD13" s="149">
        <v>11.35</v>
      </c>
      <c r="BE13" s="149">
        <v>10.95</v>
      </c>
      <c r="BF13" s="149">
        <v>13.65</v>
      </c>
      <c r="BG13" s="149"/>
      <c r="BH13" s="121">
        <f t="shared" si="9"/>
        <v>11.775</v>
      </c>
      <c r="BI13" s="149">
        <v>10.9</v>
      </c>
      <c r="BJ13" s="149">
        <v>10.8</v>
      </c>
      <c r="BK13" s="149">
        <v>11.2</v>
      </c>
      <c r="BL13" s="149">
        <v>13.4</v>
      </c>
      <c r="BM13" s="149"/>
      <c r="BN13" s="121">
        <f t="shared" si="10"/>
        <v>11.575000000000001</v>
      </c>
    </row>
    <row r="14" spans="1:66">
      <c r="A14" s="14" t="s">
        <v>100</v>
      </c>
      <c r="B14" s="14" t="s">
        <v>230</v>
      </c>
      <c r="C14" s="101" t="s">
        <v>265</v>
      </c>
      <c r="D14" s="101">
        <v>4</v>
      </c>
      <c r="E14" s="46">
        <v>0.57569444444444495</v>
      </c>
      <c r="F14" s="16">
        <v>0.60144675925925928</v>
      </c>
      <c r="G14" s="16">
        <v>0.66741898148148149</v>
      </c>
      <c r="H14" s="18">
        <f t="shared" si="0"/>
        <v>2.5752314814814325E-2</v>
      </c>
      <c r="I14" s="18">
        <f t="shared" si="1"/>
        <v>8.4143518518513538E-3</v>
      </c>
      <c r="J14" s="18">
        <f t="shared" si="19"/>
        <v>9.1724537037036535E-2</v>
      </c>
      <c r="K14" s="18">
        <v>0.1111111111111111</v>
      </c>
      <c r="L14" s="16">
        <v>0.33611111111111108</v>
      </c>
      <c r="M14" s="16">
        <v>0.36769675925925926</v>
      </c>
      <c r="N14" s="16">
        <v>0.45358796296296294</v>
      </c>
      <c r="O14" s="18">
        <f t="shared" si="2"/>
        <v>3.1585648148148182E-2</v>
      </c>
      <c r="P14" s="18">
        <f t="shared" si="3"/>
        <v>8.7268518518519023E-3</v>
      </c>
      <c r="Q14" s="18">
        <f t="shared" si="20"/>
        <v>0.11747685185185186</v>
      </c>
      <c r="R14" s="18">
        <v>0.15277777777777776</v>
      </c>
      <c r="S14" s="19">
        <f t="shared" si="12"/>
        <v>8.9</v>
      </c>
      <c r="T14" s="19">
        <f t="shared" si="13"/>
        <v>8.6999999999999993</v>
      </c>
      <c r="U14" s="19">
        <f t="shared" si="14"/>
        <v>5</v>
      </c>
      <c r="V14" s="19">
        <f t="shared" si="15"/>
        <v>5</v>
      </c>
      <c r="W14" s="37">
        <v>5.8</v>
      </c>
      <c r="X14" s="37">
        <v>6.9</v>
      </c>
      <c r="Y14" s="37">
        <v>4</v>
      </c>
      <c r="Z14" s="37">
        <v>3.5</v>
      </c>
      <c r="AA14" s="37">
        <v>0.6</v>
      </c>
      <c r="AB14" s="37">
        <f t="shared" si="16"/>
        <v>3.5</v>
      </c>
      <c r="AC14" s="37">
        <v>3.4</v>
      </c>
      <c r="AD14" s="37">
        <v>1.6</v>
      </c>
      <c r="AE14" s="37">
        <v>5.3</v>
      </c>
      <c r="AF14" s="37">
        <f t="shared" si="17"/>
        <v>2.7</v>
      </c>
      <c r="AG14" s="37">
        <v>2</v>
      </c>
      <c r="AH14" s="37">
        <v>5</v>
      </c>
      <c r="AI14" s="49">
        <f t="shared" si="21"/>
        <v>71.899999999999991</v>
      </c>
      <c r="AJ14" s="51">
        <f t="shared" si="22"/>
        <v>7</v>
      </c>
      <c r="AL14" s="22">
        <f t="shared" si="23"/>
        <v>6</v>
      </c>
      <c r="AM14" s="43">
        <v>2</v>
      </c>
      <c r="AN14" s="43">
        <v>1.5</v>
      </c>
      <c r="AO14" s="43">
        <v>1</v>
      </c>
      <c r="AP14" s="43">
        <v>1.7</v>
      </c>
      <c r="AQ14" s="149">
        <v>13.05</v>
      </c>
      <c r="AR14" s="149">
        <v>12.5</v>
      </c>
      <c r="AS14" s="149">
        <v>13.75</v>
      </c>
      <c r="AT14" s="149">
        <v>13.2</v>
      </c>
      <c r="AU14" s="149"/>
      <c r="AV14" s="150">
        <f t="shared" si="7"/>
        <v>13.125</v>
      </c>
      <c r="AW14" s="149">
        <v>12.87</v>
      </c>
      <c r="AX14" s="149">
        <v>13.56</v>
      </c>
      <c r="AY14" s="149">
        <v>13.28</v>
      </c>
      <c r="AZ14" s="149">
        <v>13.12</v>
      </c>
      <c r="BA14" s="81"/>
      <c r="BB14" s="121">
        <f t="shared" si="8"/>
        <v>13.2075</v>
      </c>
      <c r="BC14" s="149">
        <v>13.95</v>
      </c>
      <c r="BD14" s="149">
        <v>12.55</v>
      </c>
      <c r="BE14" s="149">
        <v>11.8</v>
      </c>
      <c r="BF14" s="149">
        <v>12.2</v>
      </c>
      <c r="BG14" s="81"/>
      <c r="BH14" s="121">
        <f t="shared" si="9"/>
        <v>12.625</v>
      </c>
      <c r="BI14" s="149">
        <v>12.7</v>
      </c>
      <c r="BJ14" s="149">
        <v>12.5</v>
      </c>
      <c r="BK14" s="149">
        <v>12.55</v>
      </c>
      <c r="BL14" s="149">
        <v>12.85</v>
      </c>
      <c r="BM14" s="149"/>
      <c r="BN14" s="121">
        <f t="shared" si="10"/>
        <v>12.65</v>
      </c>
    </row>
    <row r="15" spans="1:66">
      <c r="A15" s="14" t="s">
        <v>100</v>
      </c>
      <c r="B15" s="14" t="s">
        <v>213</v>
      </c>
      <c r="C15" s="101" t="s">
        <v>266</v>
      </c>
      <c r="D15" s="101">
        <v>3</v>
      </c>
      <c r="E15" s="16">
        <v>0.57638888888888895</v>
      </c>
      <c r="F15" s="16">
        <v>0.60395833333333326</v>
      </c>
      <c r="G15" s="16">
        <v>0.66184027777777776</v>
      </c>
      <c r="H15" s="18">
        <f t="shared" si="0"/>
        <v>2.7569444444444313E-2</v>
      </c>
      <c r="I15" s="18">
        <f t="shared" si="1"/>
        <v>1.0231481481481342E-2</v>
      </c>
      <c r="J15" s="18">
        <f t="shared" si="19"/>
        <v>8.5451388888888813E-2</v>
      </c>
      <c r="K15" s="18">
        <v>0.1111111111111111</v>
      </c>
      <c r="L15" s="16">
        <v>0.33888888888888885</v>
      </c>
      <c r="M15" s="16">
        <v>0.38163194444444448</v>
      </c>
      <c r="N15" s="16">
        <v>0.47292824074074075</v>
      </c>
      <c r="O15" s="18">
        <f t="shared" si="2"/>
        <v>4.2743055555555631E-2</v>
      </c>
      <c r="P15" s="18">
        <f t="shared" si="3"/>
        <v>1.9884259259259351E-2</v>
      </c>
      <c r="Q15" s="18">
        <f t="shared" si="20"/>
        <v>0.1340393518518519</v>
      </c>
      <c r="R15" s="18">
        <v>0.15277777777777776</v>
      </c>
      <c r="S15" s="19">
        <f t="shared" si="12"/>
        <v>7.6</v>
      </c>
      <c r="T15" s="19">
        <f t="shared" si="13"/>
        <v>0.7</v>
      </c>
      <c r="U15" s="19">
        <f t="shared" si="14"/>
        <v>5</v>
      </c>
      <c r="V15" s="19">
        <f t="shared" si="15"/>
        <v>5</v>
      </c>
      <c r="W15" s="37">
        <v>2.8</v>
      </c>
      <c r="X15" s="37">
        <v>6.9</v>
      </c>
      <c r="Y15" s="37">
        <v>3.8</v>
      </c>
      <c r="Z15" s="37">
        <v>0.3</v>
      </c>
      <c r="AA15" s="37">
        <v>0.4</v>
      </c>
      <c r="AB15" s="37">
        <f t="shared" si="16"/>
        <v>0.5</v>
      </c>
      <c r="AC15" s="37">
        <v>3</v>
      </c>
      <c r="AD15" s="37">
        <v>1.2</v>
      </c>
      <c r="AE15" s="37">
        <v>2.6</v>
      </c>
      <c r="AF15" s="37">
        <f t="shared" si="17"/>
        <v>1</v>
      </c>
      <c r="AG15" s="37">
        <v>0.5</v>
      </c>
      <c r="AH15" s="37">
        <v>5</v>
      </c>
      <c r="AI15" s="49">
        <f t="shared" si="21"/>
        <v>46.300000000000004</v>
      </c>
      <c r="AJ15" s="51">
        <f t="shared" si="22"/>
        <v>12</v>
      </c>
      <c r="AL15" s="22">
        <f t="shared" si="23"/>
        <v>8</v>
      </c>
      <c r="AM15" s="43">
        <v>0</v>
      </c>
      <c r="AN15" s="43">
        <v>0.5</v>
      </c>
      <c r="AO15" s="43">
        <v>1</v>
      </c>
      <c r="AP15" s="43">
        <v>0</v>
      </c>
      <c r="AQ15" s="149">
        <v>16.8</v>
      </c>
      <c r="AR15" s="149">
        <v>12.65</v>
      </c>
      <c r="AS15" s="149">
        <v>11.6</v>
      </c>
      <c r="AT15" s="149"/>
      <c r="AU15" s="149"/>
      <c r="AV15" s="150">
        <f t="shared" si="7"/>
        <v>13.683333333333335</v>
      </c>
      <c r="AW15" s="149">
        <v>14.96</v>
      </c>
      <c r="AX15" s="149">
        <v>13.22</v>
      </c>
      <c r="AY15" s="149">
        <v>13.03</v>
      </c>
      <c r="AZ15" s="149"/>
      <c r="BA15" s="81"/>
      <c r="BB15" s="121">
        <f t="shared" si="8"/>
        <v>13.736666666666666</v>
      </c>
      <c r="BC15" s="149">
        <v>13.15</v>
      </c>
      <c r="BD15" s="149">
        <v>13.15</v>
      </c>
      <c r="BE15" s="149">
        <v>12.35</v>
      </c>
      <c r="BF15" s="149"/>
      <c r="BG15" s="81"/>
      <c r="BH15" s="121">
        <f t="shared" si="9"/>
        <v>12.883333333333333</v>
      </c>
      <c r="BI15" s="149">
        <v>14</v>
      </c>
      <c r="BJ15" s="149">
        <v>12.8</v>
      </c>
      <c r="BK15" s="149">
        <v>11.8</v>
      </c>
      <c r="BL15" s="149"/>
      <c r="BM15" s="149"/>
      <c r="BN15" s="121">
        <f t="shared" si="10"/>
        <v>12.866666666666667</v>
      </c>
    </row>
    <row r="16" spans="1:66">
      <c r="A16" s="14" t="s">
        <v>100</v>
      </c>
      <c r="B16" s="14" t="s">
        <v>184</v>
      </c>
      <c r="C16" s="101" t="s">
        <v>267</v>
      </c>
      <c r="D16" s="101">
        <v>4</v>
      </c>
      <c r="E16" s="46">
        <v>0.57708333333333395</v>
      </c>
      <c r="F16" s="16">
        <v>0.59802083333333333</v>
      </c>
      <c r="G16" s="16">
        <v>0.66434027777777771</v>
      </c>
      <c r="H16" s="18">
        <f t="shared" si="0"/>
        <v>2.0937499999999387E-2</v>
      </c>
      <c r="I16" s="18">
        <f t="shared" si="1"/>
        <v>3.5995370370364155E-3</v>
      </c>
      <c r="J16" s="18">
        <f t="shared" si="19"/>
        <v>8.7256944444443763E-2</v>
      </c>
      <c r="K16" s="18">
        <v>0.1111111111111111</v>
      </c>
      <c r="L16" s="16">
        <v>0.33194444444444443</v>
      </c>
      <c r="M16" s="16">
        <v>0.3581597222222222</v>
      </c>
      <c r="N16" s="16">
        <v>0.46230324074074075</v>
      </c>
      <c r="O16" s="18">
        <f t="shared" si="2"/>
        <v>2.6215277777777768E-2</v>
      </c>
      <c r="P16" s="18">
        <f t="shared" si="3"/>
        <v>3.3564814814814881E-3</v>
      </c>
      <c r="Q16" s="18">
        <f t="shared" si="20"/>
        <v>0.13035879629629632</v>
      </c>
      <c r="R16" s="18">
        <v>0.15277777777777776</v>
      </c>
      <c r="S16" s="19">
        <f t="shared" si="12"/>
        <v>12.4</v>
      </c>
      <c r="T16" s="19">
        <f t="shared" si="13"/>
        <v>12.6</v>
      </c>
      <c r="U16" s="19">
        <f t="shared" si="14"/>
        <v>5</v>
      </c>
      <c r="V16" s="19">
        <f t="shared" si="15"/>
        <v>5</v>
      </c>
      <c r="W16" s="37">
        <v>10</v>
      </c>
      <c r="X16" s="37">
        <v>8</v>
      </c>
      <c r="Y16" s="37">
        <v>4</v>
      </c>
      <c r="Z16" s="37">
        <v>5</v>
      </c>
      <c r="AA16" s="37">
        <v>2</v>
      </c>
      <c r="AB16" s="37">
        <f t="shared" si="16"/>
        <v>7</v>
      </c>
      <c r="AC16" s="37">
        <v>3.8</v>
      </c>
      <c r="AD16" s="37">
        <v>1.4</v>
      </c>
      <c r="AE16" s="37">
        <v>6</v>
      </c>
      <c r="AF16" s="37">
        <f t="shared" si="17"/>
        <v>4</v>
      </c>
      <c r="AG16" s="37">
        <v>3</v>
      </c>
      <c r="AH16" s="37">
        <v>5</v>
      </c>
      <c r="AI16" s="49">
        <f t="shared" si="21"/>
        <v>94.2</v>
      </c>
      <c r="AJ16" s="51">
        <f t="shared" si="22"/>
        <v>2</v>
      </c>
      <c r="AL16" s="22">
        <f t="shared" si="23"/>
        <v>3</v>
      </c>
      <c r="AM16" s="43">
        <v>3</v>
      </c>
      <c r="AN16" s="43">
        <v>4</v>
      </c>
      <c r="AO16" s="43">
        <v>1</v>
      </c>
      <c r="AP16" s="43">
        <v>3</v>
      </c>
      <c r="AQ16" s="149">
        <v>12.3</v>
      </c>
      <c r="AR16" s="149">
        <v>12.35</v>
      </c>
      <c r="AS16" s="149">
        <v>10.95</v>
      </c>
      <c r="AT16" s="149">
        <v>13.55</v>
      </c>
      <c r="AU16" s="149"/>
      <c r="AV16" s="150">
        <f t="shared" si="7"/>
        <v>12.287499999999998</v>
      </c>
      <c r="AW16" s="149">
        <v>12.35</v>
      </c>
      <c r="AX16" s="149">
        <v>12.46</v>
      </c>
      <c r="AY16" s="149" t="s">
        <v>639</v>
      </c>
      <c r="AZ16" s="149">
        <v>13.51</v>
      </c>
      <c r="BA16" s="81"/>
      <c r="BB16" s="121">
        <f t="shared" si="8"/>
        <v>12.773333333333333</v>
      </c>
      <c r="BC16" s="149">
        <v>10.1</v>
      </c>
      <c r="BD16" s="149">
        <v>11.35</v>
      </c>
      <c r="BE16" s="149">
        <v>11.25</v>
      </c>
      <c r="BF16" s="149">
        <v>12.3</v>
      </c>
      <c r="BG16" s="81"/>
      <c r="BH16" s="121">
        <f t="shared" si="9"/>
        <v>11.25</v>
      </c>
      <c r="BI16" s="149">
        <v>11.4</v>
      </c>
      <c r="BJ16" s="149">
        <v>11.3</v>
      </c>
      <c r="BK16" s="149">
        <v>10.199999999999999</v>
      </c>
      <c r="BL16" s="149">
        <v>12.4</v>
      </c>
      <c r="BM16" s="149"/>
      <c r="BN16" s="121">
        <f t="shared" si="10"/>
        <v>11.325000000000001</v>
      </c>
    </row>
    <row r="17" spans="1:66">
      <c r="A17" s="14" t="s">
        <v>100</v>
      </c>
      <c r="B17" s="14" t="s">
        <v>208</v>
      </c>
      <c r="C17" s="101" t="s">
        <v>268</v>
      </c>
      <c r="D17" s="101">
        <v>4</v>
      </c>
      <c r="E17" s="16">
        <v>0.57777777777777894</v>
      </c>
      <c r="F17" s="16">
        <v>0.60435185185185192</v>
      </c>
      <c r="G17" s="16">
        <v>0.67020833333333341</v>
      </c>
      <c r="H17" s="18">
        <f t="shared" si="0"/>
        <v>2.6574074074072973E-2</v>
      </c>
      <c r="I17" s="18">
        <f t="shared" si="1"/>
        <v>9.2361111111100014E-3</v>
      </c>
      <c r="J17" s="18">
        <f t="shared" si="19"/>
        <v>9.2430555555554461E-2</v>
      </c>
      <c r="K17" s="18">
        <v>0.1111111111111111</v>
      </c>
      <c r="L17" s="16">
        <v>0.33402777777777781</v>
      </c>
      <c r="M17" s="16">
        <v>0.36556712962962962</v>
      </c>
      <c r="N17" s="16">
        <v>0.47569444444444442</v>
      </c>
      <c r="O17" s="18">
        <f t="shared" si="2"/>
        <v>3.1539351851851805E-2</v>
      </c>
      <c r="P17" s="18">
        <f t="shared" si="3"/>
        <v>8.6805555555555247E-3</v>
      </c>
      <c r="Q17" s="18">
        <f t="shared" si="20"/>
        <v>0.14166666666666661</v>
      </c>
      <c r="R17" s="18">
        <v>0.15277777777777776</v>
      </c>
      <c r="S17" s="19">
        <f t="shared" si="12"/>
        <v>8.4</v>
      </c>
      <c r="T17" s="19">
        <f t="shared" si="13"/>
        <v>8.8000000000000007</v>
      </c>
      <c r="U17" s="19">
        <f t="shared" si="14"/>
        <v>5</v>
      </c>
      <c r="V17" s="19">
        <f t="shared" si="15"/>
        <v>5</v>
      </c>
      <c r="W17" s="37">
        <v>10</v>
      </c>
      <c r="X17" s="37">
        <v>7.9</v>
      </c>
      <c r="Y17" s="37">
        <v>4</v>
      </c>
      <c r="Z17" s="37">
        <v>3.3</v>
      </c>
      <c r="AA17" s="37">
        <v>2</v>
      </c>
      <c r="AB17" s="37">
        <f t="shared" si="16"/>
        <v>4.5</v>
      </c>
      <c r="AC17" s="37">
        <v>3.4</v>
      </c>
      <c r="AD17" s="37">
        <v>1.6</v>
      </c>
      <c r="AE17" s="37">
        <v>5.8</v>
      </c>
      <c r="AF17" s="37">
        <f t="shared" si="17"/>
        <v>2</v>
      </c>
      <c r="AG17" s="37">
        <v>3</v>
      </c>
      <c r="AH17" s="37">
        <v>5</v>
      </c>
      <c r="AI17" s="49">
        <f t="shared" si="21"/>
        <v>79.7</v>
      </c>
      <c r="AJ17" s="51">
        <f t="shared" si="22"/>
        <v>5</v>
      </c>
      <c r="AL17" s="22">
        <f t="shared" si="23"/>
        <v>7</v>
      </c>
      <c r="AM17" s="43">
        <v>2.5</v>
      </c>
      <c r="AN17" s="43">
        <v>2</v>
      </c>
      <c r="AO17" s="43">
        <v>0.5</v>
      </c>
      <c r="AP17" s="43">
        <v>1.5</v>
      </c>
      <c r="AQ17" s="149">
        <v>13.1</v>
      </c>
      <c r="AR17" s="149">
        <v>11.7</v>
      </c>
      <c r="AS17" s="149">
        <v>12.45</v>
      </c>
      <c r="AT17" s="149">
        <v>13.8</v>
      </c>
      <c r="AU17" s="149"/>
      <c r="AV17" s="150">
        <f t="shared" si="7"/>
        <v>12.762499999999999</v>
      </c>
      <c r="AW17" s="149">
        <v>13.2</v>
      </c>
      <c r="AX17" s="149">
        <v>12.43</v>
      </c>
      <c r="AY17" s="149">
        <v>11.68</v>
      </c>
      <c r="AZ17" s="149">
        <v>13.77</v>
      </c>
      <c r="BA17" s="81"/>
      <c r="BB17" s="121">
        <f t="shared" si="8"/>
        <v>12.77</v>
      </c>
      <c r="BC17" s="149">
        <v>12.6</v>
      </c>
      <c r="BD17" s="149">
        <v>11.6</v>
      </c>
      <c r="BE17" s="149">
        <v>11.05</v>
      </c>
      <c r="BF17" s="149">
        <v>13.55</v>
      </c>
      <c r="BG17" s="81"/>
      <c r="BH17" s="121">
        <f t="shared" si="9"/>
        <v>12.2</v>
      </c>
      <c r="BI17" s="149">
        <v>11.6</v>
      </c>
      <c r="BJ17" s="149">
        <v>12.6</v>
      </c>
      <c r="BK17" s="149">
        <v>11.05</v>
      </c>
      <c r="BL17" s="149">
        <v>13.55</v>
      </c>
      <c r="BM17" s="149"/>
      <c r="BN17" s="121">
        <f t="shared" si="10"/>
        <v>12.2</v>
      </c>
    </row>
    <row r="18" spans="1:66">
      <c r="A18" s="14" t="s">
        <v>100</v>
      </c>
      <c r="B18" s="14" t="s">
        <v>630</v>
      </c>
      <c r="C18" s="101" t="s">
        <v>610</v>
      </c>
      <c r="D18" s="101">
        <v>4</v>
      </c>
      <c r="E18" s="46">
        <v>0.57847222222222305</v>
      </c>
      <c r="F18" s="16">
        <v>0.62677083333333339</v>
      </c>
      <c r="G18" s="16">
        <v>0.68611111111111101</v>
      </c>
      <c r="H18" s="18">
        <f t="shared" si="0"/>
        <v>4.8298611111110334E-2</v>
      </c>
      <c r="I18" s="18">
        <f t="shared" si="1"/>
        <v>3.0960648148147363E-2</v>
      </c>
      <c r="J18" s="18">
        <f t="shared" si="19"/>
        <v>0.10763888888888795</v>
      </c>
      <c r="K18" s="18">
        <v>0.1111111111111111</v>
      </c>
      <c r="L18" s="16">
        <v>0.33749999999999997</v>
      </c>
      <c r="M18" s="16">
        <v>0.39003472222222224</v>
      </c>
      <c r="N18" s="16">
        <v>0.48304398148148148</v>
      </c>
      <c r="O18" s="18">
        <f t="shared" si="2"/>
        <v>5.2534722222222274E-2</v>
      </c>
      <c r="P18" s="18">
        <f t="shared" si="3"/>
        <v>2.9675925925925994E-2</v>
      </c>
      <c r="Q18" s="18">
        <f t="shared" si="20"/>
        <v>0.14554398148148151</v>
      </c>
      <c r="R18" s="18">
        <v>0.15277777777777776</v>
      </c>
      <c r="S18" s="19">
        <f t="shared" si="12"/>
        <v>0</v>
      </c>
      <c r="T18" s="19">
        <f t="shared" si="13"/>
        <v>0</v>
      </c>
      <c r="U18" s="19">
        <f t="shared" si="14"/>
        <v>5</v>
      </c>
      <c r="V18" s="19">
        <f t="shared" si="15"/>
        <v>5</v>
      </c>
      <c r="W18" s="37">
        <v>5.9</v>
      </c>
      <c r="X18" s="37">
        <v>2.2999999999999998</v>
      </c>
      <c r="Y18" s="37">
        <v>4</v>
      </c>
      <c r="Z18" s="37">
        <v>4.5</v>
      </c>
      <c r="AA18" s="37">
        <v>2</v>
      </c>
      <c r="AB18" s="37">
        <f t="shared" si="16"/>
        <v>2</v>
      </c>
      <c r="AC18" s="37">
        <v>2.8</v>
      </c>
      <c r="AD18" s="37">
        <v>1.6</v>
      </c>
      <c r="AE18" s="37">
        <v>5.4</v>
      </c>
      <c r="AF18" s="37">
        <f t="shared" si="17"/>
        <v>1</v>
      </c>
      <c r="AG18" s="37">
        <v>3</v>
      </c>
      <c r="AH18" s="37">
        <v>3.8</v>
      </c>
      <c r="AI18" s="49">
        <f t="shared" si="21"/>
        <v>48.3</v>
      </c>
      <c r="AJ18" s="51">
        <f t="shared" si="22"/>
        <v>11</v>
      </c>
      <c r="AL18" s="22">
        <f t="shared" si="23"/>
        <v>13</v>
      </c>
      <c r="AM18" s="43">
        <v>2</v>
      </c>
      <c r="AN18" s="43">
        <v>0</v>
      </c>
      <c r="AO18" s="43">
        <v>0.5</v>
      </c>
      <c r="AP18" s="43">
        <v>0.5</v>
      </c>
      <c r="AQ18" s="149">
        <v>20.55</v>
      </c>
      <c r="AR18" s="149">
        <v>15.25</v>
      </c>
      <c r="AS18" s="149">
        <v>15.25</v>
      </c>
      <c r="AT18" s="149">
        <v>15.4</v>
      </c>
      <c r="AU18" s="149"/>
      <c r="AV18" s="150">
        <f t="shared" si="7"/>
        <v>16.612500000000001</v>
      </c>
      <c r="AW18" s="149">
        <v>15.14</v>
      </c>
      <c r="AX18" s="149">
        <v>15.18</v>
      </c>
      <c r="AY18" s="149">
        <v>14.64</v>
      </c>
      <c r="AZ18" s="149"/>
      <c r="BA18" s="81"/>
      <c r="BB18" s="121">
        <f t="shared" si="8"/>
        <v>14.986666666666666</v>
      </c>
      <c r="BC18" s="149">
        <v>11.55</v>
      </c>
      <c r="BD18" s="149">
        <v>12.15</v>
      </c>
      <c r="BE18" s="149">
        <v>14.85</v>
      </c>
      <c r="BF18" s="149">
        <v>13.6</v>
      </c>
      <c r="BG18" s="81"/>
      <c r="BH18" s="121">
        <f t="shared" si="9"/>
        <v>13.037500000000001</v>
      </c>
      <c r="BI18" s="149">
        <v>14.5</v>
      </c>
      <c r="BJ18" s="149">
        <v>11.3</v>
      </c>
      <c r="BK18" s="149">
        <v>12.05</v>
      </c>
      <c r="BL18" s="149">
        <v>12.8</v>
      </c>
      <c r="BM18" s="149"/>
      <c r="BN18" s="121">
        <f t="shared" si="10"/>
        <v>12.662500000000001</v>
      </c>
    </row>
    <row r="19" spans="1:66">
      <c r="A19" s="14" t="s">
        <v>100</v>
      </c>
      <c r="B19" s="14" t="s">
        <v>209</v>
      </c>
      <c r="C19" s="101" t="s">
        <v>626</v>
      </c>
      <c r="D19" s="101">
        <v>3</v>
      </c>
      <c r="E19" s="16">
        <v>0.57916666666666805</v>
      </c>
      <c r="F19" s="16">
        <v>0.59972222222222216</v>
      </c>
      <c r="G19" s="16">
        <v>0.67652777777777784</v>
      </c>
      <c r="H19" s="18">
        <f t="shared" si="0"/>
        <v>2.0555555555554106E-2</v>
      </c>
      <c r="I19" s="18">
        <f t="shared" si="1"/>
        <v>3.2175925925911342E-3</v>
      </c>
      <c r="J19" s="18">
        <f t="shared" si="19"/>
        <v>9.7361111111109788E-2</v>
      </c>
      <c r="K19" s="18">
        <v>0.1111111111111111</v>
      </c>
      <c r="L19" s="16">
        <v>0.33333333333333331</v>
      </c>
      <c r="M19" s="16">
        <v>0.35949074074074078</v>
      </c>
      <c r="N19" s="16">
        <v>0.45671296296296293</v>
      </c>
      <c r="O19" s="18">
        <f t="shared" si="2"/>
        <v>2.6157407407407463E-2</v>
      </c>
      <c r="P19" s="18">
        <f t="shared" si="3"/>
        <v>3.2986111111111827E-3</v>
      </c>
      <c r="Q19" s="18">
        <f t="shared" si="20"/>
        <v>0.12337962962962962</v>
      </c>
      <c r="R19" s="18">
        <v>0.15277777777777776</v>
      </c>
      <c r="S19" s="19">
        <f t="shared" si="12"/>
        <v>12.7</v>
      </c>
      <c r="T19" s="19">
        <f t="shared" si="13"/>
        <v>12.6</v>
      </c>
      <c r="U19" s="19">
        <f t="shared" si="14"/>
        <v>5</v>
      </c>
      <c r="V19" s="19">
        <f t="shared" si="15"/>
        <v>5</v>
      </c>
      <c r="W19" s="37">
        <v>9.1999999999999993</v>
      </c>
      <c r="X19" s="37">
        <v>7.3</v>
      </c>
      <c r="Y19" s="37">
        <v>4</v>
      </c>
      <c r="Z19" s="37">
        <v>5</v>
      </c>
      <c r="AA19" s="37">
        <v>1.8</v>
      </c>
      <c r="AB19" s="37">
        <f t="shared" si="16"/>
        <v>5</v>
      </c>
      <c r="AC19" s="37">
        <v>3.8</v>
      </c>
      <c r="AD19" s="37">
        <v>2</v>
      </c>
      <c r="AE19" s="37">
        <v>5.2</v>
      </c>
      <c r="AF19" s="37">
        <f t="shared" si="17"/>
        <v>3.3</v>
      </c>
      <c r="AG19" s="37">
        <v>2</v>
      </c>
      <c r="AH19" s="37">
        <v>5</v>
      </c>
      <c r="AI19" s="49">
        <f t="shared" si="21"/>
        <v>88.899999999999991</v>
      </c>
      <c r="AJ19" s="51">
        <f t="shared" si="22"/>
        <v>4</v>
      </c>
      <c r="AL19" s="22">
        <f t="shared" si="23"/>
        <v>2</v>
      </c>
      <c r="AM19" s="43">
        <v>3</v>
      </c>
      <c r="AN19" s="43">
        <v>2</v>
      </c>
      <c r="AO19" s="43">
        <v>1</v>
      </c>
      <c r="AP19" s="43">
        <v>2.2999999999999998</v>
      </c>
      <c r="AQ19" s="149">
        <v>11.2</v>
      </c>
      <c r="AR19" s="149">
        <v>11.1</v>
      </c>
      <c r="AS19" s="149">
        <v>14.2</v>
      </c>
      <c r="AT19" s="149"/>
      <c r="AU19" s="149"/>
      <c r="AV19" s="150">
        <f t="shared" si="7"/>
        <v>12.166666666666666</v>
      </c>
      <c r="AW19" s="149">
        <v>14.42</v>
      </c>
      <c r="AX19" s="149">
        <v>11.25</v>
      </c>
      <c r="AY19" s="149">
        <v>11.12</v>
      </c>
      <c r="AZ19" s="149"/>
      <c r="BA19" s="81"/>
      <c r="BB19" s="121">
        <f t="shared" si="8"/>
        <v>12.263333333333334</v>
      </c>
      <c r="BC19" s="149">
        <v>8.15</v>
      </c>
      <c r="BD19" s="149">
        <v>14.3</v>
      </c>
      <c r="BE19" s="149">
        <v>11.2</v>
      </c>
      <c r="BF19" s="149"/>
      <c r="BG19" s="81"/>
      <c r="BH19" s="121">
        <f t="shared" si="9"/>
        <v>11.216666666666669</v>
      </c>
      <c r="BI19" s="149">
        <v>14.3</v>
      </c>
      <c r="BJ19" s="149">
        <v>8.1999999999999993</v>
      </c>
      <c r="BK19" s="149">
        <v>11.2</v>
      </c>
      <c r="BL19" s="149"/>
      <c r="BM19" s="149"/>
      <c r="BN19" s="121">
        <f t="shared" si="10"/>
        <v>11.233333333333334</v>
      </c>
    </row>
    <row r="20" spans="1:66">
      <c r="A20" s="14" t="s">
        <v>100</v>
      </c>
      <c r="B20" s="14" t="s">
        <v>210</v>
      </c>
      <c r="C20" s="101" t="s">
        <v>627</v>
      </c>
      <c r="D20" s="101">
        <v>4</v>
      </c>
      <c r="E20" s="46">
        <v>0.57986111111111205</v>
      </c>
      <c r="F20" s="16">
        <v>0.60751157407407408</v>
      </c>
      <c r="G20" s="16">
        <v>0.65931712962962963</v>
      </c>
      <c r="H20" s="18">
        <f t="shared" si="0"/>
        <v>2.765046296296203E-2</v>
      </c>
      <c r="I20" s="18">
        <f t="shared" si="1"/>
        <v>1.0312499999999059E-2</v>
      </c>
      <c r="J20" s="18">
        <f t="shared" si="19"/>
        <v>7.9456018518517579E-2</v>
      </c>
      <c r="K20" s="18">
        <v>0.1111111111111111</v>
      </c>
      <c r="L20" s="16">
        <v>0.3354166666666667</v>
      </c>
      <c r="M20" s="16">
        <v>0.37392361111111111</v>
      </c>
      <c r="N20" s="16">
        <v>0.46831018518518519</v>
      </c>
      <c r="O20" s="18">
        <f t="shared" si="2"/>
        <v>3.8506944444444413E-2</v>
      </c>
      <c r="P20" s="18">
        <f t="shared" si="3"/>
        <v>1.5648148148148133E-2</v>
      </c>
      <c r="Q20" s="18">
        <f t="shared" si="20"/>
        <v>0.13289351851851849</v>
      </c>
      <c r="R20" s="18">
        <v>0.15277777777777776</v>
      </c>
      <c r="S20" s="19">
        <f t="shared" si="12"/>
        <v>7.6</v>
      </c>
      <c r="T20" s="19">
        <f t="shared" si="13"/>
        <v>3.7</v>
      </c>
      <c r="U20" s="19">
        <f t="shared" si="14"/>
        <v>5</v>
      </c>
      <c r="V20" s="19">
        <f t="shared" si="15"/>
        <v>5</v>
      </c>
      <c r="W20" s="37">
        <v>7.5</v>
      </c>
      <c r="X20" s="37">
        <v>7.6</v>
      </c>
      <c r="Y20" s="37">
        <v>3.6</v>
      </c>
      <c r="Z20" s="37">
        <v>4.0999999999999996</v>
      </c>
      <c r="AA20" s="37">
        <v>1.8</v>
      </c>
      <c r="AB20" s="37">
        <f t="shared" si="16"/>
        <v>1</v>
      </c>
      <c r="AC20" s="37">
        <v>3.6</v>
      </c>
      <c r="AD20" s="37">
        <v>1.6</v>
      </c>
      <c r="AE20" s="37">
        <v>4.5</v>
      </c>
      <c r="AF20" s="37">
        <f t="shared" si="17"/>
        <v>2.2000000000000002</v>
      </c>
      <c r="AG20" s="37">
        <v>3</v>
      </c>
      <c r="AH20" s="37">
        <v>4</v>
      </c>
      <c r="AI20" s="49">
        <f t="shared" si="21"/>
        <v>65.800000000000011</v>
      </c>
      <c r="AJ20" s="51">
        <f t="shared" si="22"/>
        <v>8</v>
      </c>
      <c r="AL20" s="22">
        <f t="shared" si="23"/>
        <v>9</v>
      </c>
      <c r="AM20" s="43">
        <v>0</v>
      </c>
      <c r="AN20" s="43">
        <v>1</v>
      </c>
      <c r="AO20" s="43">
        <v>0.5</v>
      </c>
      <c r="AP20" s="43">
        <v>1.7</v>
      </c>
      <c r="AQ20" s="149">
        <v>14.05</v>
      </c>
      <c r="AR20" s="149">
        <v>13.45</v>
      </c>
      <c r="AS20" s="149">
        <v>14.15</v>
      </c>
      <c r="AT20" s="149">
        <v>13.3</v>
      </c>
      <c r="AU20" s="127"/>
      <c r="AV20" s="150">
        <f t="shared" si="7"/>
        <v>13.737500000000001</v>
      </c>
      <c r="AW20" s="149">
        <v>14.05</v>
      </c>
      <c r="AX20" s="149">
        <v>13.95</v>
      </c>
      <c r="AY20" s="149">
        <v>13.34</v>
      </c>
      <c r="AZ20" s="149">
        <v>13.43</v>
      </c>
      <c r="BB20" s="121">
        <f t="shared" si="8"/>
        <v>13.692500000000001</v>
      </c>
      <c r="BC20" s="149">
        <v>14.8</v>
      </c>
      <c r="BD20" s="149">
        <v>14.3</v>
      </c>
      <c r="BE20" s="149">
        <v>12.25</v>
      </c>
      <c r="BF20" s="149">
        <v>12.55</v>
      </c>
      <c r="BH20" s="121">
        <f t="shared" si="9"/>
        <v>13.475000000000001</v>
      </c>
      <c r="BI20" s="149">
        <v>12.45</v>
      </c>
      <c r="BJ20" s="149">
        <v>14.15</v>
      </c>
      <c r="BK20" s="149">
        <v>14.75</v>
      </c>
      <c r="BL20" s="127">
        <v>12.1</v>
      </c>
      <c r="BM20" s="127"/>
      <c r="BN20" s="121">
        <f t="shared" si="10"/>
        <v>13.362500000000001</v>
      </c>
    </row>
    <row r="21" spans="1:66">
      <c r="A21" s="14" t="s">
        <v>100</v>
      </c>
      <c r="B21" s="14" t="s">
        <v>631</v>
      </c>
      <c r="C21" s="101" t="s">
        <v>628</v>
      </c>
      <c r="D21" s="101">
        <v>4</v>
      </c>
      <c r="E21" s="16">
        <v>0.58055555555555705</v>
      </c>
      <c r="F21" s="16">
        <v>0.60171296296296295</v>
      </c>
      <c r="G21" s="16">
        <v>0.65910879629629626</v>
      </c>
      <c r="H21" s="18">
        <f t="shared" si="0"/>
        <v>2.1157407407405904E-2</v>
      </c>
      <c r="I21" s="18">
        <f t="shared" si="1"/>
        <v>3.8194444444429321E-3</v>
      </c>
      <c r="J21" s="18">
        <f t="shared" si="19"/>
        <v>7.8553240740739216E-2</v>
      </c>
      <c r="K21" s="18">
        <v>0.1111111111111111</v>
      </c>
      <c r="L21" s="16">
        <v>0.33263888888888887</v>
      </c>
      <c r="M21" s="16">
        <v>0.35972222222222222</v>
      </c>
      <c r="N21" s="16">
        <v>0.44791666666666669</v>
      </c>
      <c r="O21" s="18">
        <f t="shared" si="2"/>
        <v>2.7083333333333348E-2</v>
      </c>
      <c r="P21" s="18">
        <f t="shared" si="3"/>
        <v>4.2245370370370683E-3</v>
      </c>
      <c r="Q21" s="18">
        <f t="shared" si="20"/>
        <v>0.11527777777777781</v>
      </c>
      <c r="R21" s="18">
        <v>0.15277777777777776</v>
      </c>
      <c r="S21" s="19">
        <f t="shared" si="12"/>
        <v>12.3</v>
      </c>
      <c r="T21" s="19">
        <f t="shared" si="13"/>
        <v>12</v>
      </c>
      <c r="U21" s="19">
        <f t="shared" si="14"/>
        <v>5</v>
      </c>
      <c r="V21" s="19">
        <f t="shared" si="15"/>
        <v>5</v>
      </c>
      <c r="W21" s="37">
        <v>10</v>
      </c>
      <c r="X21" s="37">
        <v>8</v>
      </c>
      <c r="Y21" s="37">
        <v>4</v>
      </c>
      <c r="Z21" s="37">
        <v>4.4000000000000004</v>
      </c>
      <c r="AA21" s="37">
        <v>2</v>
      </c>
      <c r="AB21" s="37">
        <f t="shared" si="16"/>
        <v>7</v>
      </c>
      <c r="AC21" s="37">
        <v>4</v>
      </c>
      <c r="AD21" s="37">
        <v>2</v>
      </c>
      <c r="AE21" s="37">
        <v>5.8</v>
      </c>
      <c r="AF21" s="37">
        <f t="shared" si="17"/>
        <v>3.5</v>
      </c>
      <c r="AG21" s="37">
        <v>3</v>
      </c>
      <c r="AH21" s="37">
        <v>5</v>
      </c>
      <c r="AI21" s="49">
        <f t="shared" si="21"/>
        <v>92.999999999999986</v>
      </c>
      <c r="AJ21" s="51">
        <f t="shared" si="22"/>
        <v>3</v>
      </c>
      <c r="AL21" s="22">
        <f t="shared" si="23"/>
        <v>4</v>
      </c>
      <c r="AM21" s="160">
        <v>3</v>
      </c>
      <c r="AN21" s="43">
        <v>4</v>
      </c>
      <c r="AO21" s="160">
        <v>1</v>
      </c>
      <c r="AP21" s="43">
        <v>2.5</v>
      </c>
      <c r="AQ21" s="149">
        <v>8.9</v>
      </c>
      <c r="AR21" s="149">
        <v>13.3</v>
      </c>
      <c r="AS21" s="149">
        <v>12.1</v>
      </c>
      <c r="AT21" s="149">
        <v>14.65</v>
      </c>
      <c r="AU21" s="149"/>
      <c r="AV21" s="150">
        <f t="shared" si="7"/>
        <v>12.237500000000001</v>
      </c>
      <c r="AW21" s="149">
        <v>13.4</v>
      </c>
      <c r="AX21" s="149">
        <v>14.68</v>
      </c>
      <c r="AY21" s="149">
        <v>11.45</v>
      </c>
      <c r="AZ21" s="149">
        <v>8.9499999999999993</v>
      </c>
      <c r="BA21" s="149"/>
      <c r="BB21" s="121">
        <f t="shared" si="8"/>
        <v>12.120000000000001</v>
      </c>
      <c r="BC21" s="149">
        <v>7.75</v>
      </c>
      <c r="BD21" s="149">
        <v>11.3</v>
      </c>
      <c r="BE21" s="149">
        <v>13.15</v>
      </c>
      <c r="BF21" s="149">
        <v>12.3</v>
      </c>
      <c r="BG21" s="149"/>
      <c r="BH21" s="121">
        <f t="shared" si="9"/>
        <v>11.125</v>
      </c>
      <c r="BI21" s="149">
        <v>11.35</v>
      </c>
      <c r="BJ21" s="149">
        <v>13.2</v>
      </c>
      <c r="BK21" s="149">
        <v>12.4</v>
      </c>
      <c r="BL21" s="149">
        <v>7.8</v>
      </c>
      <c r="BM21" s="149"/>
      <c r="BN21" s="121">
        <f t="shared" si="10"/>
        <v>11.187499999999998</v>
      </c>
    </row>
    <row r="22" spans="1:66" s="22" customFormat="1" ht="14.25" thickBot="1">
      <c r="A22" s="62" t="s">
        <v>100</v>
      </c>
      <c r="B22" s="62" t="s">
        <v>608</v>
      </c>
      <c r="C22" s="110" t="s">
        <v>629</v>
      </c>
      <c r="D22" s="110">
        <v>5</v>
      </c>
      <c r="E22" s="46">
        <v>0.58125000000000104</v>
      </c>
      <c r="F22" s="64">
        <v>0.6036921296296297</v>
      </c>
      <c r="G22" s="64">
        <v>0.67042824074074081</v>
      </c>
      <c r="H22" s="66">
        <f t="shared" si="0"/>
        <v>2.244212962962866E-2</v>
      </c>
      <c r="I22" s="66">
        <f t="shared" si="1"/>
        <v>5.1041666666656882E-3</v>
      </c>
      <c r="J22" s="66">
        <f t="shared" si="19"/>
        <v>8.9178240740739767E-2</v>
      </c>
      <c r="K22" s="66">
        <v>0.1111111111111111</v>
      </c>
      <c r="L22" s="64">
        <v>0.3347222222222222</v>
      </c>
      <c r="M22" s="64">
        <v>0.36230324074074072</v>
      </c>
      <c r="N22" s="64">
        <v>0.47841435185185183</v>
      </c>
      <c r="O22" s="66">
        <f t="shared" si="2"/>
        <v>2.7581018518518519E-2</v>
      </c>
      <c r="P22" s="66">
        <f t="shared" si="3"/>
        <v>4.7222222222222388E-3</v>
      </c>
      <c r="Q22" s="66">
        <f t="shared" si="20"/>
        <v>0.14369212962962963</v>
      </c>
      <c r="R22" s="66">
        <v>0.15277777777777776</v>
      </c>
      <c r="S22" s="67">
        <f t="shared" si="12"/>
        <v>11.3</v>
      </c>
      <c r="T22" s="67">
        <f t="shared" si="13"/>
        <v>11.6</v>
      </c>
      <c r="U22" s="67">
        <f t="shared" si="14"/>
        <v>5</v>
      </c>
      <c r="V22" s="67">
        <f t="shared" si="15"/>
        <v>5</v>
      </c>
      <c r="W22" s="68">
        <v>6.8</v>
      </c>
      <c r="X22" s="68">
        <v>8</v>
      </c>
      <c r="Y22" s="68">
        <v>4</v>
      </c>
      <c r="Z22" s="68">
        <v>0.6</v>
      </c>
      <c r="AA22" s="68">
        <v>1.8</v>
      </c>
      <c r="AB22" s="68">
        <f t="shared" si="16"/>
        <v>2.5</v>
      </c>
      <c r="AC22" s="68">
        <v>3.8</v>
      </c>
      <c r="AD22" s="68">
        <v>1.6</v>
      </c>
      <c r="AE22" s="68">
        <v>5.6</v>
      </c>
      <c r="AF22" s="68">
        <f t="shared" si="17"/>
        <v>2.7</v>
      </c>
      <c r="AG22" s="68">
        <v>3</v>
      </c>
      <c r="AH22" s="68">
        <v>5</v>
      </c>
      <c r="AI22" s="67">
        <f t="shared" si="21"/>
        <v>78.3</v>
      </c>
      <c r="AJ22" s="111">
        <f t="shared" si="22"/>
        <v>6</v>
      </c>
      <c r="AL22" s="22">
        <f t="shared" si="23"/>
        <v>5</v>
      </c>
      <c r="AM22" s="159">
        <v>1.5</v>
      </c>
      <c r="AN22" s="159">
        <v>1</v>
      </c>
      <c r="AO22" s="159">
        <v>0.5</v>
      </c>
      <c r="AP22" s="159">
        <v>2.2000000000000002</v>
      </c>
      <c r="AQ22" s="122">
        <v>13</v>
      </c>
      <c r="AR22" s="122">
        <v>13.85</v>
      </c>
      <c r="AS22" s="122">
        <v>12.7</v>
      </c>
      <c r="AT22" s="122">
        <v>12</v>
      </c>
      <c r="AU22" s="122">
        <v>14.5</v>
      </c>
      <c r="AV22" s="153">
        <f t="shared" si="7"/>
        <v>13.209999999999999</v>
      </c>
      <c r="AW22" s="149">
        <v>13.93</v>
      </c>
      <c r="AX22" s="149">
        <v>13.08</v>
      </c>
      <c r="AY22" s="149">
        <v>12.01</v>
      </c>
      <c r="AZ22" s="149">
        <v>12.73</v>
      </c>
      <c r="BA22" s="149">
        <v>14.57</v>
      </c>
      <c r="BB22" s="121">
        <f t="shared" si="8"/>
        <v>12.9375</v>
      </c>
      <c r="BC22" s="149">
        <v>12.75</v>
      </c>
      <c r="BD22" s="149">
        <v>12.75</v>
      </c>
      <c r="BE22" s="149">
        <v>12.3</v>
      </c>
      <c r="BF22" s="149">
        <v>14.55</v>
      </c>
      <c r="BG22" s="149">
        <v>9.9499999999999993</v>
      </c>
      <c r="BH22" s="121">
        <f>AVERAGE(BC22:BG22)</f>
        <v>12.459999999999999</v>
      </c>
      <c r="BI22" s="149">
        <v>11.2</v>
      </c>
      <c r="BJ22" s="149">
        <v>12.8</v>
      </c>
      <c r="BK22" s="149">
        <v>12.75</v>
      </c>
      <c r="BL22" s="149">
        <v>12.1</v>
      </c>
      <c r="BM22" s="122">
        <v>13.55</v>
      </c>
      <c r="BN22" s="121">
        <f t="shared" si="10"/>
        <v>12.2125</v>
      </c>
    </row>
    <row r="23" spans="1:66">
      <c r="A23" s="44" t="s">
        <v>102</v>
      </c>
      <c r="B23" s="44" t="s">
        <v>179</v>
      </c>
      <c r="C23" s="107" t="s">
        <v>277</v>
      </c>
      <c r="D23" s="107">
        <v>4</v>
      </c>
      <c r="E23" s="16">
        <v>0.58194444444444604</v>
      </c>
      <c r="F23" s="46">
        <v>0.6337962962962963</v>
      </c>
      <c r="G23" s="46">
        <v>0.70134259259259257</v>
      </c>
      <c r="H23" s="48">
        <f t="shared" si="0"/>
        <v>5.1851851851850261E-2</v>
      </c>
      <c r="I23" s="48">
        <f>H23-MIN(H$23:H$27)</f>
        <v>1.803240740740697E-2</v>
      </c>
      <c r="J23" s="48">
        <f t="shared" si="19"/>
        <v>0.11939814814814653</v>
      </c>
      <c r="K23" s="48">
        <v>0.125</v>
      </c>
      <c r="L23" s="46">
        <v>0.3444444444444445</v>
      </c>
      <c r="M23" s="46">
        <v>0.41275462962962961</v>
      </c>
      <c r="N23" s="46">
        <v>0.49540509259259258</v>
      </c>
      <c r="O23" s="48">
        <f t="shared" si="2"/>
        <v>6.8310185185185113E-2</v>
      </c>
      <c r="P23" s="48">
        <f>O23-MIN(O$23:O$27)</f>
        <v>2.5127314814814672E-2</v>
      </c>
      <c r="Q23" s="48">
        <f>N23-L23</f>
        <v>0.15096064814814808</v>
      </c>
      <c r="R23" s="48">
        <v>0.17361111111111113</v>
      </c>
      <c r="S23" s="49">
        <f>ROUND(MAX(S$2-I23*60*24*0.5,0),1)</f>
        <v>2</v>
      </c>
      <c r="T23" s="49">
        <f>ROUND(MAX(T$2-P23*60*24*0.5,0),1)</f>
        <v>0</v>
      </c>
      <c r="U23" s="49">
        <f>ROUND(MAX(MIN(U$2+(K23-J23)*60*24*0.2,$U$2),0),1)</f>
        <v>5</v>
      </c>
      <c r="V23" s="49">
        <f>ROUND(MAX(MIN($V$2+(R23-Q23)*60*24*0.2,$V$2),0),1)</f>
        <v>5</v>
      </c>
      <c r="W23" s="50">
        <v>8.8000000000000007</v>
      </c>
      <c r="X23" s="50">
        <v>7.3</v>
      </c>
      <c r="Y23" s="50">
        <v>3.6</v>
      </c>
      <c r="Z23" s="50">
        <v>0.2</v>
      </c>
      <c r="AA23" s="50">
        <v>1</v>
      </c>
      <c r="AB23" s="50">
        <f t="shared" si="16"/>
        <v>1</v>
      </c>
      <c r="AC23" s="50">
        <v>3.2</v>
      </c>
      <c r="AD23" s="50">
        <v>1</v>
      </c>
      <c r="AE23" s="50">
        <v>5.9</v>
      </c>
      <c r="AF23" s="50">
        <f t="shared" si="17"/>
        <v>2.7</v>
      </c>
      <c r="AG23" s="50">
        <v>3</v>
      </c>
      <c r="AH23" s="50">
        <v>5</v>
      </c>
      <c r="AI23" s="49">
        <f>SUM(S23:AH23)</f>
        <v>54.70000000000001</v>
      </c>
      <c r="AJ23" s="51">
        <f>RANK(AI23,$AI$23:$AI$26)</f>
        <v>4</v>
      </c>
      <c r="AL23" s="22">
        <f>RANK(I23,$I$23:$I$26,1)</f>
        <v>4</v>
      </c>
      <c r="AM23" s="160">
        <v>1</v>
      </c>
      <c r="AN23" s="160">
        <v>0</v>
      </c>
      <c r="AO23" s="43">
        <v>1</v>
      </c>
      <c r="AP23" s="160">
        <v>1.7</v>
      </c>
      <c r="AQ23" s="149">
        <v>12.55</v>
      </c>
      <c r="AR23" s="149">
        <v>12.75</v>
      </c>
      <c r="AS23" s="149">
        <v>11.15</v>
      </c>
      <c r="AT23" s="149">
        <v>13.05</v>
      </c>
      <c r="AU23" s="149"/>
      <c r="AV23" s="150">
        <f t="shared" si="7"/>
        <v>12.375</v>
      </c>
      <c r="AW23" s="149">
        <v>12</v>
      </c>
      <c r="AX23" s="149">
        <v>12.25</v>
      </c>
      <c r="AY23" s="149">
        <v>11.79</v>
      </c>
      <c r="AZ23" s="149">
        <v>12.37</v>
      </c>
      <c r="BA23" s="81"/>
      <c r="BB23" s="121">
        <f t="shared" si="8"/>
        <v>12.102499999999999</v>
      </c>
      <c r="BC23" s="149">
        <v>12.1</v>
      </c>
      <c r="BD23" s="149">
        <v>10.85</v>
      </c>
      <c r="BE23" s="149">
        <v>11.3</v>
      </c>
      <c r="BF23" s="149">
        <v>11.6</v>
      </c>
      <c r="BG23" s="81"/>
      <c r="BH23" s="121">
        <f t="shared" si="9"/>
        <v>11.4625</v>
      </c>
      <c r="BI23" s="149">
        <v>11.15</v>
      </c>
      <c r="BJ23" s="149">
        <v>11</v>
      </c>
      <c r="BK23" s="149">
        <v>11.05</v>
      </c>
      <c r="BL23" s="149">
        <v>11.15</v>
      </c>
      <c r="BM23" s="149"/>
      <c r="BN23" s="121">
        <f t="shared" si="10"/>
        <v>11.0875</v>
      </c>
    </row>
    <row r="24" spans="1:66">
      <c r="A24" s="44" t="s">
        <v>102</v>
      </c>
      <c r="B24" s="44" t="s">
        <v>632</v>
      </c>
      <c r="C24" s="107" t="s">
        <v>278</v>
      </c>
      <c r="D24" s="107">
        <v>4</v>
      </c>
      <c r="E24" s="46">
        <v>0.58263888888889004</v>
      </c>
      <c r="F24" s="46">
        <v>0.61645833333333333</v>
      </c>
      <c r="G24" s="46">
        <v>0.69356481481481491</v>
      </c>
      <c r="H24" s="48">
        <f t="shared" si="0"/>
        <v>3.3819444444443292E-2</v>
      </c>
      <c r="I24" s="48">
        <f>H24-MIN(H$23:H$27)</f>
        <v>0</v>
      </c>
      <c r="J24" s="48">
        <f t="shared" si="19"/>
        <v>0.11092592592592487</v>
      </c>
      <c r="K24" s="48">
        <v>0.125</v>
      </c>
      <c r="L24" s="46">
        <v>0.34027777777777773</v>
      </c>
      <c r="M24" s="46">
        <v>0.38451388888888888</v>
      </c>
      <c r="N24" s="46">
        <v>0.49957175925925923</v>
      </c>
      <c r="O24" s="48">
        <f t="shared" si="2"/>
        <v>4.4236111111111143E-2</v>
      </c>
      <c r="P24" s="48">
        <f>O24-MIN(O$23:O$27)</f>
        <v>1.0532407407407018E-3</v>
      </c>
      <c r="Q24" s="48">
        <f>N24-L24</f>
        <v>0.15929398148148149</v>
      </c>
      <c r="R24" s="48">
        <v>0.17361111111111113</v>
      </c>
      <c r="S24" s="49">
        <f>ROUND(MAX(S$2-I24*60*24*0.5,0),1)</f>
        <v>15</v>
      </c>
      <c r="T24" s="49">
        <f>ROUND(MAX(T$2-P24*60*24*0.5,0),1)</f>
        <v>14.2</v>
      </c>
      <c r="U24" s="49">
        <f>ROUND(MAX(MIN(U$2+(K24-J24)*60*24*0.2,$U$2),0),1)</f>
        <v>5</v>
      </c>
      <c r="V24" s="49">
        <f>ROUND(MAX(MIN($V$2+(R24-Q24)*60*24*0.2,$V$2),0),1)</f>
        <v>5</v>
      </c>
      <c r="W24" s="50">
        <v>10</v>
      </c>
      <c r="X24" s="50">
        <v>8</v>
      </c>
      <c r="Y24" s="50">
        <v>4</v>
      </c>
      <c r="Z24" s="50">
        <v>4.2</v>
      </c>
      <c r="AA24" s="50">
        <v>1.8</v>
      </c>
      <c r="AB24" s="50">
        <f t="shared" si="16"/>
        <v>4</v>
      </c>
      <c r="AC24" s="50">
        <v>3.6</v>
      </c>
      <c r="AD24" s="50">
        <v>1.6</v>
      </c>
      <c r="AE24" s="50">
        <v>6</v>
      </c>
      <c r="AF24" s="50">
        <f t="shared" si="17"/>
        <v>3.3</v>
      </c>
      <c r="AG24" s="50">
        <v>2.5</v>
      </c>
      <c r="AH24" s="50">
        <v>5</v>
      </c>
      <c r="AI24" s="49">
        <f>SUM(S24:AH24)</f>
        <v>93.199999999999989</v>
      </c>
      <c r="AJ24" s="51">
        <f>RANK(AI24,$AI$23:$AI$26)</f>
        <v>1</v>
      </c>
      <c r="AL24" s="22">
        <f>RANK(I24,$I$23:$I$26,1)</f>
        <v>1</v>
      </c>
      <c r="AM24" s="160">
        <v>3</v>
      </c>
      <c r="AN24" s="160">
        <v>1</v>
      </c>
      <c r="AO24" s="43">
        <v>0.5</v>
      </c>
      <c r="AP24" s="160">
        <v>2.8</v>
      </c>
      <c r="AQ24" s="149">
        <v>12.7</v>
      </c>
      <c r="AR24" s="149">
        <v>12.6</v>
      </c>
      <c r="AS24" s="149">
        <v>11.35</v>
      </c>
      <c r="AT24" s="149">
        <v>12</v>
      </c>
      <c r="AU24" s="149"/>
      <c r="AV24" s="150">
        <f t="shared" si="7"/>
        <v>12.1625</v>
      </c>
      <c r="AW24" s="149">
        <v>13.09</v>
      </c>
      <c r="AX24" s="149">
        <v>12.5</v>
      </c>
      <c r="AY24" s="149">
        <v>12.53</v>
      </c>
      <c r="AZ24" s="149">
        <v>13.72</v>
      </c>
      <c r="BA24" s="81"/>
      <c r="BB24" s="121">
        <f t="shared" si="8"/>
        <v>12.959999999999999</v>
      </c>
      <c r="BC24" s="149">
        <v>13.6</v>
      </c>
      <c r="BD24" s="149">
        <v>12.65</v>
      </c>
      <c r="BE24" s="149">
        <v>11.6</v>
      </c>
      <c r="BF24" s="149">
        <v>12.05</v>
      </c>
      <c r="BG24" s="81"/>
      <c r="BH24" s="121">
        <f t="shared" si="9"/>
        <v>12.475000000000001</v>
      </c>
      <c r="BI24" s="149">
        <v>11.9</v>
      </c>
      <c r="BJ24" s="149">
        <v>12.5</v>
      </c>
      <c r="BK24" s="149">
        <v>11.25</v>
      </c>
      <c r="BL24" s="149">
        <v>12.2</v>
      </c>
      <c r="BM24" s="149"/>
      <c r="BN24" s="121">
        <f t="shared" si="10"/>
        <v>11.962499999999999</v>
      </c>
    </row>
    <row r="25" spans="1:66">
      <c r="A25" s="14" t="s">
        <v>102</v>
      </c>
      <c r="B25" s="14" t="s">
        <v>122</v>
      </c>
      <c r="C25" s="107" t="s">
        <v>279</v>
      </c>
      <c r="D25" s="101">
        <v>4</v>
      </c>
      <c r="E25" s="16">
        <v>0.58333333333333504</v>
      </c>
      <c r="F25" s="16">
        <v>0.61844907407407412</v>
      </c>
      <c r="G25" s="16">
        <v>0.69513888888888886</v>
      </c>
      <c r="H25" s="18">
        <f t="shared" si="0"/>
        <v>3.5115740740739088E-2</v>
      </c>
      <c r="I25" s="18">
        <f>H25-MIN(H$23:H$27)</f>
        <v>1.2962962962957958E-3</v>
      </c>
      <c r="J25" s="18">
        <f t="shared" si="19"/>
        <v>0.11180555555555383</v>
      </c>
      <c r="K25" s="18">
        <v>0.125</v>
      </c>
      <c r="L25" s="16">
        <v>0.34166666666666662</v>
      </c>
      <c r="M25" s="16">
        <v>0.38484953703703706</v>
      </c>
      <c r="N25" s="16">
        <v>0.46623842592592596</v>
      </c>
      <c r="O25" s="18">
        <f t="shared" si="2"/>
        <v>4.3182870370370441E-2</v>
      </c>
      <c r="P25" s="18">
        <f>O25-MIN(O$23:O$27)</f>
        <v>0</v>
      </c>
      <c r="Q25" s="18">
        <f>N25-L25</f>
        <v>0.12457175925925934</v>
      </c>
      <c r="R25" s="18">
        <v>0.17361111111111113</v>
      </c>
      <c r="S25" s="49">
        <f>ROUND(MAX(S$2-I25*60*24*0.5,0),1)</f>
        <v>14.1</v>
      </c>
      <c r="T25" s="49">
        <f>ROUND(MAX(T$2-P25*60*24*0.5,0),1)</f>
        <v>15</v>
      </c>
      <c r="U25" s="49">
        <f>ROUND(MAX(MIN(U$2+(K25-J25)*60*24*0.2,$U$2),0),1)</f>
        <v>5</v>
      </c>
      <c r="V25" s="49">
        <f>ROUND(MAX(MIN($V$2+(R25-Q25)*60*24*0.2,$V$2),0),1)</f>
        <v>5</v>
      </c>
      <c r="W25" s="37">
        <v>10</v>
      </c>
      <c r="X25" s="37">
        <v>7.8</v>
      </c>
      <c r="Y25" s="37">
        <v>3.8</v>
      </c>
      <c r="Z25" s="37">
        <v>4</v>
      </c>
      <c r="AA25" s="37">
        <v>1</v>
      </c>
      <c r="AB25" s="37">
        <f t="shared" si="16"/>
        <v>2</v>
      </c>
      <c r="AC25" s="37">
        <v>3.4</v>
      </c>
      <c r="AD25" s="37">
        <v>1.2</v>
      </c>
      <c r="AE25" s="37">
        <v>5.9</v>
      </c>
      <c r="AF25" s="37">
        <f t="shared" si="17"/>
        <v>2.5</v>
      </c>
      <c r="AG25" s="37">
        <v>2.5</v>
      </c>
      <c r="AH25" s="37">
        <v>5</v>
      </c>
      <c r="AI25" s="49">
        <f>SUM(S25:AH25)</f>
        <v>88.2</v>
      </c>
      <c r="AJ25" s="51">
        <f>RANK(AI25,$AI$23:$AI$26)</f>
        <v>2</v>
      </c>
      <c r="AL25" s="22">
        <f>RANK(I25,$I$23:$I$26,1)</f>
        <v>2</v>
      </c>
      <c r="AM25" s="43">
        <v>1</v>
      </c>
      <c r="AN25" s="160">
        <v>1</v>
      </c>
      <c r="AO25" s="43">
        <v>0.5</v>
      </c>
      <c r="AP25" s="160">
        <v>2</v>
      </c>
      <c r="AQ25" s="149">
        <v>13.75</v>
      </c>
      <c r="AR25" s="149">
        <v>14.75</v>
      </c>
      <c r="AS25" s="149">
        <v>13.6</v>
      </c>
      <c r="AT25" s="149">
        <v>12.9</v>
      </c>
      <c r="AU25" s="149"/>
      <c r="AV25" s="150">
        <f t="shared" si="7"/>
        <v>13.75</v>
      </c>
      <c r="AW25" s="149">
        <v>13.61</v>
      </c>
      <c r="AX25" s="149">
        <v>12.69</v>
      </c>
      <c r="AY25" s="149">
        <v>14.03</v>
      </c>
      <c r="AZ25" s="149">
        <v>14.49</v>
      </c>
      <c r="BA25" s="81"/>
      <c r="BB25" s="121">
        <f t="shared" si="8"/>
        <v>13.705</v>
      </c>
      <c r="BC25" s="149">
        <v>12.05</v>
      </c>
      <c r="BD25" s="149">
        <v>12.6</v>
      </c>
      <c r="BE25" s="149">
        <v>11.75</v>
      </c>
      <c r="BF25" s="149">
        <v>13.6</v>
      </c>
      <c r="BG25" s="81"/>
      <c r="BH25" s="121">
        <f t="shared" si="9"/>
        <v>12.5</v>
      </c>
      <c r="BI25" s="149">
        <v>11</v>
      </c>
      <c r="BJ25" s="149">
        <v>11.35</v>
      </c>
      <c r="BK25" s="149">
        <v>11.9</v>
      </c>
      <c r="BL25" s="149">
        <v>12.7</v>
      </c>
      <c r="BM25" s="149"/>
      <c r="BN25" s="121">
        <f t="shared" si="10"/>
        <v>11.737500000000001</v>
      </c>
    </row>
    <row r="26" spans="1:66" ht="14.25" thickBot="1">
      <c r="A26" s="62" t="s">
        <v>102</v>
      </c>
      <c r="B26" s="62" t="s">
        <v>633</v>
      </c>
      <c r="C26" s="110" t="s">
        <v>634</v>
      </c>
      <c r="D26" s="110">
        <v>4</v>
      </c>
      <c r="E26" s="46">
        <v>0.58402777777777903</v>
      </c>
      <c r="F26" s="64">
        <v>0.62349537037037039</v>
      </c>
      <c r="G26" s="64">
        <v>0.69061342592592589</v>
      </c>
      <c r="H26" s="66">
        <f t="shared" si="0"/>
        <v>3.9467592592591361E-2</v>
      </c>
      <c r="I26" s="66">
        <f>H26-MIN(H$23:H$27)</f>
        <v>5.6481481481480689E-3</v>
      </c>
      <c r="J26" s="66">
        <f t="shared" si="19"/>
        <v>0.10658564814814686</v>
      </c>
      <c r="K26" s="66">
        <v>0.125</v>
      </c>
      <c r="L26" s="64">
        <v>0.3430555555555555</v>
      </c>
      <c r="M26" s="64">
        <v>0.39557870370370374</v>
      </c>
      <c r="N26" s="64">
        <v>0.46660879629629631</v>
      </c>
      <c r="O26" s="66">
        <f t="shared" si="2"/>
        <v>5.2523148148148235E-2</v>
      </c>
      <c r="P26" s="66">
        <f>O26-MIN(O$23:O$27)</f>
        <v>9.3402777777777946E-3</v>
      </c>
      <c r="Q26" s="66">
        <f>N26-L26</f>
        <v>0.12355324074074081</v>
      </c>
      <c r="R26" s="66">
        <v>0.17361111111111113</v>
      </c>
      <c r="S26" s="67">
        <f>ROUND(MAX(S$2-I26*60*24*0.5,0),1)</f>
        <v>10.9</v>
      </c>
      <c r="T26" s="67">
        <f>ROUND(MAX(T$2-P26*60*24*0.5,0),1)</f>
        <v>8.3000000000000007</v>
      </c>
      <c r="U26" s="67">
        <f>ROUND(MAX(MIN(U$2+(K26-J26)*60*24*0.2,$U$2),0),1)</f>
        <v>5</v>
      </c>
      <c r="V26" s="67">
        <f>ROUND(MAX(MIN($V$2+(R26-Q26)*60*24*0.2,$V$2),0),1)</f>
        <v>5</v>
      </c>
      <c r="W26" s="68">
        <v>4.3</v>
      </c>
      <c r="X26" s="68">
        <v>7.1</v>
      </c>
      <c r="Y26" s="68">
        <v>3.6</v>
      </c>
      <c r="Z26" s="68">
        <v>1.2</v>
      </c>
      <c r="AA26" s="68">
        <v>2</v>
      </c>
      <c r="AB26" s="68">
        <f t="shared" si="16"/>
        <v>2.5</v>
      </c>
      <c r="AC26" s="68">
        <v>3</v>
      </c>
      <c r="AD26" s="68">
        <v>2</v>
      </c>
      <c r="AE26" s="68">
        <v>4.5999999999999996</v>
      </c>
      <c r="AF26" s="68">
        <f t="shared" si="17"/>
        <v>1.2</v>
      </c>
      <c r="AG26" s="68">
        <v>2.5</v>
      </c>
      <c r="AH26" s="68">
        <v>4.8</v>
      </c>
      <c r="AI26" s="67">
        <f>SUM(S26:AH26)</f>
        <v>68.000000000000014</v>
      </c>
      <c r="AJ26" s="111">
        <f>RANK(AI26,$AI$23:$AI$26)</f>
        <v>3</v>
      </c>
      <c r="AL26" s="22">
        <f>RANK(I26,$I$23:$I$26,1)</f>
        <v>3</v>
      </c>
      <c r="AM26" s="43">
        <v>2.5</v>
      </c>
      <c r="AN26" s="160">
        <v>0</v>
      </c>
      <c r="AO26" s="43">
        <v>0.5</v>
      </c>
      <c r="AP26" s="160">
        <v>0.7</v>
      </c>
      <c r="AQ26" s="149">
        <v>14.35</v>
      </c>
      <c r="AR26" s="149">
        <v>12.55</v>
      </c>
      <c r="AS26" s="149">
        <v>12.05</v>
      </c>
      <c r="AT26" s="149">
        <v>11.5</v>
      </c>
      <c r="AU26" s="149"/>
      <c r="AV26" s="150">
        <f t="shared" si="7"/>
        <v>12.612500000000001</v>
      </c>
      <c r="AW26" s="149">
        <v>14.29</v>
      </c>
      <c r="AX26" s="149">
        <v>11.6</v>
      </c>
      <c r="AY26" s="149">
        <v>11.97</v>
      </c>
      <c r="AZ26" s="149">
        <v>12.7</v>
      </c>
      <c r="BA26" s="81"/>
      <c r="BB26" s="121">
        <f t="shared" si="8"/>
        <v>12.64</v>
      </c>
      <c r="BC26" s="149">
        <v>13.7</v>
      </c>
      <c r="BD26" s="149">
        <v>11.4</v>
      </c>
      <c r="BE26" s="149">
        <v>11.05</v>
      </c>
      <c r="BF26" s="149">
        <v>13</v>
      </c>
      <c r="BG26" s="81"/>
      <c r="BH26" s="121">
        <f t="shared" si="9"/>
        <v>12.287500000000001</v>
      </c>
      <c r="BI26" s="149">
        <v>12</v>
      </c>
      <c r="BJ26" s="149">
        <v>13.45</v>
      </c>
      <c r="BK26" s="149">
        <v>12.65</v>
      </c>
      <c r="BL26" s="149">
        <v>10.85</v>
      </c>
      <c r="BM26" s="149"/>
      <c r="BN26" s="121">
        <f t="shared" si="10"/>
        <v>12.237500000000001</v>
      </c>
    </row>
    <row r="27" spans="1:66" ht="14.25" thickBot="1">
      <c r="A27" s="138" t="s">
        <v>635</v>
      </c>
      <c r="B27" s="138" t="s">
        <v>632</v>
      </c>
      <c r="C27" s="169" t="s">
        <v>280</v>
      </c>
      <c r="D27" s="139">
        <v>4</v>
      </c>
      <c r="E27" s="164">
        <v>0.58680555555555558</v>
      </c>
      <c r="F27" s="164">
        <v>0.62400462962962966</v>
      </c>
      <c r="G27" s="164">
        <v>0.69136574074074064</v>
      </c>
      <c r="H27" s="165">
        <f t="shared" si="0"/>
        <v>3.7199074074074079E-2</v>
      </c>
      <c r="I27" s="165">
        <f>H27-MIN(H$23:H$27)</f>
        <v>3.3796296296307871E-3</v>
      </c>
      <c r="J27" s="165">
        <f t="shared" si="19"/>
        <v>0.10456018518518506</v>
      </c>
      <c r="K27" s="165">
        <v>0.125</v>
      </c>
      <c r="L27" s="164">
        <v>0.34583333333333338</v>
      </c>
      <c r="M27" s="164">
        <v>0.40206018518518521</v>
      </c>
      <c r="N27" s="164">
        <v>0.50446759259259266</v>
      </c>
      <c r="O27" s="165">
        <f t="shared" si="2"/>
        <v>5.6226851851851833E-2</v>
      </c>
      <c r="P27" s="165">
        <f>O27-MIN(O$23:O$27)</f>
        <v>1.3043981481481393E-2</v>
      </c>
      <c r="Q27" s="165">
        <f>N27-L27</f>
        <v>0.15863425925925928</v>
      </c>
      <c r="R27" s="170">
        <v>0.17361111111111113</v>
      </c>
      <c r="S27" s="171">
        <f>ROUND(MAX(S$2-I27*60*24*0.5,0),1)</f>
        <v>12.6</v>
      </c>
      <c r="T27" s="171">
        <f>ROUND(MAX(T$2-P27*60*24*0.5,0),1)</f>
        <v>5.6</v>
      </c>
      <c r="U27" s="171">
        <f>ROUND(MAX(MIN(U$2+(K27-J27)*60*24*0.2,$U$2),0),1)</f>
        <v>5</v>
      </c>
      <c r="V27" s="171">
        <f>ROUND(MAX(MIN($V$2+(R27-Q27)*60*24*0.2,$V$2),0),1)</f>
        <v>5</v>
      </c>
      <c r="W27" s="167">
        <v>8.5</v>
      </c>
      <c r="X27" s="167">
        <v>7.8</v>
      </c>
      <c r="Y27" s="167">
        <v>3.6</v>
      </c>
      <c r="Z27" s="167">
        <v>3.9</v>
      </c>
      <c r="AA27" s="167">
        <v>2</v>
      </c>
      <c r="AB27" s="167">
        <f t="shared" si="16"/>
        <v>3</v>
      </c>
      <c r="AC27" s="167">
        <v>3.4</v>
      </c>
      <c r="AD27" s="167">
        <v>1.8</v>
      </c>
      <c r="AE27" s="167">
        <v>5.8</v>
      </c>
      <c r="AF27" s="167">
        <f t="shared" si="17"/>
        <v>2</v>
      </c>
      <c r="AG27" s="167">
        <v>2</v>
      </c>
      <c r="AH27" s="167">
        <v>5</v>
      </c>
      <c r="AI27" s="166">
        <f>SUM(S27:AH27)</f>
        <v>77</v>
      </c>
      <c r="AJ27" s="168">
        <f>RANK(AI27,$AI$27)</f>
        <v>1</v>
      </c>
      <c r="AL27" s="22">
        <f>RANK(I27,$I$27,1)</f>
        <v>1</v>
      </c>
      <c r="AM27" s="43">
        <v>2.5</v>
      </c>
      <c r="AN27" s="160">
        <v>0.5</v>
      </c>
      <c r="AO27" s="43">
        <v>0.5</v>
      </c>
      <c r="AP27" s="160">
        <v>1.5</v>
      </c>
      <c r="AQ27" s="149">
        <v>11.75</v>
      </c>
      <c r="AR27" s="149">
        <v>11.05</v>
      </c>
      <c r="AS27" s="149">
        <v>10.5</v>
      </c>
      <c r="AT27" s="149">
        <v>15.45</v>
      </c>
      <c r="AU27" s="149"/>
      <c r="AV27" s="150">
        <f t="shared" si="7"/>
        <v>12.1875</v>
      </c>
      <c r="AW27" s="149">
        <v>11.06</v>
      </c>
      <c r="AX27" s="149">
        <v>11.05</v>
      </c>
      <c r="AY27" s="149">
        <v>10.39</v>
      </c>
      <c r="AZ27" s="149">
        <v>15.51</v>
      </c>
      <c r="BA27" s="81"/>
      <c r="BB27" s="121">
        <f t="shared" si="8"/>
        <v>12.0025</v>
      </c>
      <c r="BC27" s="149">
        <v>11.75</v>
      </c>
      <c r="BD27" s="149">
        <v>10.050000000000001</v>
      </c>
      <c r="BE27" s="149">
        <v>10.5</v>
      </c>
      <c r="BF27" s="149">
        <v>13.25</v>
      </c>
      <c r="BG27" s="81"/>
      <c r="BH27" s="121">
        <f t="shared" si="9"/>
        <v>11.387499999999999</v>
      </c>
      <c r="BI27" s="149">
        <v>11.6</v>
      </c>
      <c r="BJ27" s="149">
        <v>10.3</v>
      </c>
      <c r="BK27" s="149">
        <v>10.55</v>
      </c>
      <c r="BL27" s="149">
        <v>13.35</v>
      </c>
      <c r="BM27" s="149"/>
      <c r="BN27" s="121">
        <f t="shared" si="10"/>
        <v>11.450000000000001</v>
      </c>
    </row>
    <row r="28" spans="1:66">
      <c r="A28" s="44" t="s">
        <v>103</v>
      </c>
      <c r="B28" s="44" t="s">
        <v>611</v>
      </c>
      <c r="C28" s="107"/>
      <c r="D28" s="107">
        <v>1</v>
      </c>
      <c r="E28" s="46"/>
      <c r="F28" s="46"/>
      <c r="G28" s="46"/>
      <c r="H28" s="48"/>
      <c r="I28" s="48"/>
      <c r="J28" s="48"/>
      <c r="K28" s="48"/>
      <c r="L28" s="46"/>
      <c r="M28" s="46"/>
      <c r="N28" s="46"/>
      <c r="O28" s="48"/>
      <c r="P28" s="48"/>
      <c r="Q28" s="48"/>
      <c r="R28" s="48"/>
      <c r="S28" s="49"/>
      <c r="T28" s="49"/>
      <c r="U28" s="49"/>
      <c r="V28" s="49"/>
      <c r="W28" s="50"/>
      <c r="X28" s="50"/>
      <c r="Y28" s="50"/>
      <c r="Z28" s="50"/>
      <c r="AA28" s="50"/>
      <c r="AB28" s="50"/>
      <c r="AC28" s="50"/>
      <c r="AD28" s="50"/>
      <c r="AE28" s="50"/>
      <c r="AF28" s="50"/>
      <c r="AG28" s="50"/>
      <c r="AH28" s="50"/>
      <c r="AI28" s="49"/>
      <c r="AJ28" s="51"/>
      <c r="AQ28" s="81"/>
      <c r="AR28" s="81"/>
      <c r="AS28" s="81"/>
      <c r="AT28" s="81"/>
      <c r="AU28" s="81"/>
      <c r="AV28" s="121"/>
      <c r="AW28" s="81"/>
      <c r="AX28" s="81"/>
      <c r="AY28" s="81"/>
      <c r="AZ28" s="81"/>
      <c r="BA28" s="81"/>
      <c r="BB28" s="121"/>
      <c r="BC28" s="81"/>
      <c r="BD28" s="81"/>
      <c r="BE28" s="81"/>
      <c r="BF28" s="81"/>
      <c r="BG28" s="81"/>
      <c r="BH28" s="121" t="e">
        <f t="shared" si="9"/>
        <v>#DIV/0!</v>
      </c>
      <c r="BI28" s="81"/>
      <c r="BJ28" s="81"/>
      <c r="BK28" s="81"/>
      <c r="BL28" s="81"/>
      <c r="BM28" s="81"/>
      <c r="BN28" s="121"/>
    </row>
    <row r="29" spans="1:66">
      <c r="A29" s="14" t="s">
        <v>103</v>
      </c>
      <c r="B29" s="14" t="s">
        <v>219</v>
      </c>
      <c r="C29" s="101"/>
      <c r="D29" s="101">
        <v>2</v>
      </c>
      <c r="E29" s="16"/>
      <c r="F29" s="16"/>
      <c r="G29" s="16"/>
      <c r="H29" s="18"/>
      <c r="I29" s="18"/>
      <c r="J29" s="18"/>
      <c r="K29" s="18"/>
      <c r="L29" s="16"/>
      <c r="M29" s="16"/>
      <c r="N29" s="16"/>
      <c r="O29" s="18"/>
      <c r="P29" s="18"/>
      <c r="Q29" s="18"/>
      <c r="R29" s="18"/>
      <c r="S29" s="19"/>
      <c r="T29" s="19"/>
      <c r="U29" s="19"/>
      <c r="V29" s="19"/>
      <c r="W29" s="37"/>
      <c r="X29" s="37"/>
      <c r="Y29" s="37"/>
      <c r="Z29" s="37"/>
      <c r="AA29" s="37"/>
      <c r="AB29" s="37"/>
      <c r="AC29" s="37"/>
      <c r="AD29" s="37"/>
      <c r="AE29" s="37"/>
      <c r="AF29" s="37"/>
      <c r="AG29" s="37"/>
      <c r="AH29" s="37"/>
      <c r="AI29" s="19"/>
      <c r="AJ29" s="33"/>
      <c r="BH29" s="121" t="e">
        <f t="shared" si="9"/>
        <v>#DIV/0!</v>
      </c>
    </row>
    <row r="30" spans="1:66">
      <c r="A30" s="14" t="s">
        <v>103</v>
      </c>
      <c r="B30" s="14" t="s">
        <v>124</v>
      </c>
      <c r="C30" s="130"/>
      <c r="D30" s="101">
        <v>3</v>
      </c>
      <c r="E30" s="16"/>
      <c r="F30" s="16"/>
      <c r="G30" s="16"/>
      <c r="H30" s="18"/>
      <c r="I30" s="18"/>
      <c r="J30" s="18"/>
      <c r="K30" s="18"/>
      <c r="L30" s="16"/>
      <c r="M30" s="16"/>
      <c r="N30" s="16"/>
      <c r="O30" s="18"/>
      <c r="P30" s="18"/>
      <c r="Q30" s="18"/>
      <c r="R30" s="18"/>
      <c r="S30" s="19"/>
      <c r="T30" s="19"/>
      <c r="U30" s="19"/>
      <c r="V30" s="19"/>
      <c r="W30" s="37"/>
      <c r="X30" s="37"/>
      <c r="Y30" s="37"/>
      <c r="Z30" s="37"/>
      <c r="AA30" s="37"/>
      <c r="AB30" s="37"/>
      <c r="AC30" s="37"/>
      <c r="AD30" s="37"/>
      <c r="AE30" s="37"/>
      <c r="AF30" s="37"/>
      <c r="AG30" s="37"/>
      <c r="AH30" s="37"/>
      <c r="AI30" s="19"/>
      <c r="AJ30" s="33"/>
      <c r="BH30" s="121" t="e">
        <f t="shared" si="9"/>
        <v>#DIV/0!</v>
      </c>
    </row>
    <row r="31" spans="1:66">
      <c r="A31" s="14" t="s">
        <v>103</v>
      </c>
      <c r="B31" s="14" t="s">
        <v>592</v>
      </c>
      <c r="C31" s="101"/>
      <c r="D31" s="101">
        <v>4</v>
      </c>
      <c r="E31" s="16"/>
      <c r="F31" s="16"/>
      <c r="G31" s="16"/>
      <c r="H31" s="18"/>
      <c r="I31" s="18"/>
      <c r="J31" s="18"/>
      <c r="K31" s="18"/>
      <c r="L31" s="16"/>
      <c r="M31" s="16"/>
      <c r="N31" s="16"/>
      <c r="O31" s="18"/>
      <c r="P31" s="18"/>
      <c r="Q31" s="18"/>
      <c r="R31" s="18"/>
      <c r="S31" s="19"/>
      <c r="T31" s="19"/>
      <c r="U31" s="19"/>
      <c r="V31" s="19"/>
      <c r="W31" s="37"/>
      <c r="X31" s="37"/>
      <c r="Y31" s="37"/>
      <c r="Z31" s="37"/>
      <c r="AA31" s="37"/>
      <c r="AB31" s="37"/>
      <c r="AC31" s="37"/>
      <c r="AD31" s="37"/>
      <c r="AE31" s="37"/>
      <c r="AF31" s="37"/>
      <c r="AG31" s="37"/>
      <c r="AH31" s="37"/>
      <c r="AI31" s="19"/>
      <c r="AJ31" s="33"/>
      <c r="BH31" s="121" t="e">
        <f t="shared" si="9"/>
        <v>#DIV/0!</v>
      </c>
    </row>
    <row r="32" spans="1:66">
      <c r="A32" s="14" t="s">
        <v>103</v>
      </c>
      <c r="B32" s="14" t="s">
        <v>69</v>
      </c>
      <c r="C32" s="101"/>
      <c r="D32" s="101">
        <v>2</v>
      </c>
      <c r="E32" s="16"/>
      <c r="F32" s="16"/>
      <c r="G32" s="16"/>
      <c r="H32" s="18"/>
      <c r="I32" s="18"/>
      <c r="J32" s="18"/>
      <c r="K32" s="18"/>
      <c r="L32" s="16"/>
      <c r="M32" s="16"/>
      <c r="N32" s="16"/>
      <c r="O32" s="18"/>
      <c r="P32" s="18"/>
      <c r="Q32" s="18"/>
      <c r="R32" s="18"/>
      <c r="S32" s="19"/>
      <c r="T32" s="19"/>
      <c r="U32" s="19"/>
      <c r="V32" s="19"/>
      <c r="W32" s="37"/>
      <c r="X32" s="37"/>
      <c r="Y32" s="37"/>
      <c r="Z32" s="37"/>
      <c r="AA32" s="37"/>
      <c r="AB32" s="37"/>
      <c r="AC32" s="37"/>
      <c r="AD32" s="37"/>
      <c r="AE32" s="37"/>
      <c r="AF32" s="37"/>
      <c r="AG32" s="37"/>
      <c r="AH32" s="37"/>
      <c r="AI32" s="19"/>
      <c r="AJ32" s="33"/>
      <c r="BH32" s="121" t="e">
        <f t="shared" si="9"/>
        <v>#DIV/0!</v>
      </c>
    </row>
    <row r="33" spans="1:66">
      <c r="A33" s="14" t="s">
        <v>103</v>
      </c>
      <c r="B33" s="14" t="s">
        <v>29</v>
      </c>
      <c r="C33" s="101"/>
      <c r="D33" s="101">
        <v>2</v>
      </c>
      <c r="E33" s="16"/>
      <c r="F33" s="16"/>
      <c r="G33" s="16"/>
      <c r="H33" s="18"/>
      <c r="I33" s="18"/>
      <c r="J33" s="18"/>
      <c r="K33" s="18"/>
      <c r="L33" s="16"/>
      <c r="M33" s="16"/>
      <c r="N33" s="16"/>
      <c r="O33" s="18"/>
      <c r="P33" s="18"/>
      <c r="Q33" s="18"/>
      <c r="R33" s="18"/>
      <c r="S33" s="19"/>
      <c r="T33" s="19"/>
      <c r="U33" s="19"/>
      <c r="V33" s="19"/>
      <c r="W33" s="37"/>
      <c r="X33" s="37"/>
      <c r="Y33" s="37"/>
      <c r="Z33" s="37"/>
      <c r="AA33" s="37"/>
      <c r="AB33" s="37"/>
      <c r="AC33" s="37"/>
      <c r="AD33" s="37"/>
      <c r="AE33" s="37"/>
      <c r="AF33" s="37"/>
      <c r="AG33" s="37"/>
      <c r="AH33" s="37"/>
      <c r="AI33" s="19"/>
      <c r="AJ33" s="33"/>
    </row>
    <row r="34" spans="1:66">
      <c r="A34" s="14" t="s">
        <v>103</v>
      </c>
      <c r="B34" s="14" t="s">
        <v>234</v>
      </c>
      <c r="C34" s="101"/>
      <c r="D34" s="101">
        <v>1</v>
      </c>
      <c r="E34" s="16"/>
      <c r="F34" s="16"/>
      <c r="G34" s="16"/>
      <c r="H34" s="18"/>
      <c r="I34" s="18"/>
      <c r="J34" s="18"/>
      <c r="K34" s="18"/>
      <c r="L34" s="16"/>
      <c r="M34" s="16"/>
      <c r="N34" s="16"/>
      <c r="O34" s="18"/>
      <c r="P34" s="18"/>
      <c r="Q34" s="18"/>
      <c r="R34" s="18"/>
      <c r="S34" s="19"/>
      <c r="T34" s="19"/>
      <c r="U34" s="19"/>
      <c r="V34" s="19"/>
      <c r="W34" s="37"/>
      <c r="X34" s="37"/>
      <c r="Y34" s="37"/>
      <c r="Z34" s="37"/>
      <c r="AA34" s="37"/>
      <c r="AB34" s="37"/>
      <c r="AC34" s="37"/>
      <c r="AD34" s="37"/>
      <c r="AE34" s="37"/>
      <c r="AF34" s="37"/>
      <c r="AG34" s="37"/>
      <c r="AH34" s="37"/>
      <c r="AI34" s="19"/>
      <c r="AJ34" s="33"/>
    </row>
    <row r="35" spans="1:66">
      <c r="A35" s="14" t="s">
        <v>103</v>
      </c>
      <c r="B35" s="14" t="s">
        <v>179</v>
      </c>
      <c r="C35" s="101"/>
      <c r="D35" s="101">
        <v>1</v>
      </c>
      <c r="E35" s="16"/>
      <c r="F35" s="16"/>
      <c r="G35" s="16"/>
      <c r="H35" s="18"/>
      <c r="I35" s="18"/>
      <c r="J35" s="18"/>
      <c r="K35" s="18"/>
      <c r="L35" s="16"/>
      <c r="M35" s="16"/>
      <c r="N35" s="16"/>
      <c r="O35" s="18"/>
      <c r="P35" s="18"/>
      <c r="Q35" s="18"/>
      <c r="R35" s="18"/>
      <c r="S35" s="19"/>
      <c r="T35" s="19"/>
      <c r="U35" s="19"/>
      <c r="V35" s="19"/>
      <c r="W35" s="37"/>
      <c r="X35" s="37"/>
      <c r="Y35" s="37"/>
      <c r="Z35" s="37"/>
      <c r="AA35" s="37"/>
      <c r="AB35" s="37"/>
      <c r="AC35" s="37"/>
      <c r="AD35" s="37"/>
      <c r="AE35" s="37"/>
      <c r="AF35" s="37"/>
      <c r="AG35" s="37"/>
      <c r="AH35" s="37"/>
      <c r="AI35" s="19"/>
      <c r="AJ35" s="33"/>
    </row>
    <row r="36" spans="1:66">
      <c r="A36" s="14" t="s">
        <v>103</v>
      </c>
      <c r="B36" s="14" t="s">
        <v>213</v>
      </c>
      <c r="C36" s="101"/>
      <c r="D36" s="101">
        <v>2</v>
      </c>
      <c r="E36" s="16"/>
      <c r="F36" s="16"/>
      <c r="G36" s="16"/>
      <c r="H36" s="18"/>
      <c r="I36" s="18"/>
      <c r="J36" s="18"/>
      <c r="K36" s="18"/>
      <c r="L36" s="16"/>
      <c r="M36" s="16"/>
      <c r="N36" s="16"/>
      <c r="O36" s="18"/>
      <c r="P36" s="18"/>
      <c r="Q36" s="18"/>
      <c r="R36" s="18"/>
      <c r="S36" s="19"/>
      <c r="T36" s="19"/>
      <c r="U36" s="19"/>
      <c r="V36" s="19"/>
      <c r="W36" s="37"/>
      <c r="X36" s="37"/>
      <c r="Y36" s="37"/>
      <c r="Z36" s="37"/>
      <c r="AA36" s="37"/>
      <c r="AB36" s="37"/>
      <c r="AC36" s="37"/>
      <c r="AD36" s="37"/>
      <c r="AE36" s="37"/>
      <c r="AF36" s="37"/>
      <c r="AG36" s="37"/>
      <c r="AH36" s="37"/>
      <c r="AI36" s="19"/>
      <c r="AJ36" s="33"/>
    </row>
    <row r="37" spans="1:66">
      <c r="A37" s="14" t="s">
        <v>104</v>
      </c>
      <c r="B37" s="14" t="s">
        <v>219</v>
      </c>
      <c r="C37" s="101"/>
      <c r="D37" s="101">
        <v>2</v>
      </c>
      <c r="E37" s="16"/>
      <c r="F37" s="16"/>
      <c r="G37" s="16"/>
      <c r="H37" s="18"/>
      <c r="I37" s="18"/>
      <c r="J37" s="18"/>
      <c r="K37" s="18"/>
      <c r="L37" s="16"/>
      <c r="M37" s="16"/>
      <c r="N37" s="16"/>
      <c r="O37" s="18"/>
      <c r="P37" s="18"/>
      <c r="Q37" s="18"/>
      <c r="R37" s="18"/>
      <c r="S37" s="19"/>
      <c r="T37" s="19"/>
      <c r="U37" s="19"/>
      <c r="V37" s="19"/>
      <c r="W37" s="37"/>
      <c r="X37" s="37"/>
      <c r="Y37" s="37"/>
      <c r="Z37" s="37"/>
      <c r="AA37" s="37"/>
      <c r="AB37" s="37"/>
      <c r="AC37" s="37"/>
      <c r="AD37" s="37"/>
      <c r="AE37" s="37"/>
      <c r="AF37" s="37"/>
      <c r="AG37" s="37"/>
      <c r="AH37" s="37"/>
      <c r="AI37" s="19"/>
      <c r="AJ37" s="33"/>
    </row>
    <row r="38" spans="1:66">
      <c r="A38" s="14" t="s">
        <v>104</v>
      </c>
      <c r="B38" s="14" t="s">
        <v>140</v>
      </c>
      <c r="C38" s="101"/>
      <c r="D38" s="101">
        <v>1</v>
      </c>
      <c r="E38" s="16"/>
      <c r="F38" s="16"/>
      <c r="G38" s="16"/>
      <c r="H38" s="18"/>
      <c r="I38" s="18"/>
      <c r="J38" s="18"/>
      <c r="K38" s="18"/>
      <c r="L38" s="16"/>
      <c r="M38" s="16"/>
      <c r="N38" s="16"/>
      <c r="O38" s="18"/>
      <c r="P38" s="18"/>
      <c r="Q38" s="18"/>
      <c r="R38" s="18"/>
      <c r="S38" s="19"/>
      <c r="T38" s="19"/>
      <c r="U38" s="19"/>
      <c r="V38" s="19"/>
      <c r="W38" s="37"/>
      <c r="X38" s="37"/>
      <c r="Y38" s="37"/>
      <c r="Z38" s="37"/>
      <c r="AA38" s="37"/>
      <c r="AB38" s="37"/>
      <c r="AC38" s="37"/>
      <c r="AD38" s="37"/>
      <c r="AE38" s="37"/>
      <c r="AF38" s="37"/>
      <c r="AG38" s="37"/>
      <c r="AH38" s="37"/>
      <c r="AI38" s="19"/>
      <c r="AJ38" s="33"/>
    </row>
    <row r="39" spans="1:66">
      <c r="A39" s="14" t="s">
        <v>104</v>
      </c>
      <c r="B39" s="14" t="s">
        <v>182</v>
      </c>
      <c r="C39" s="101"/>
      <c r="D39" s="101">
        <v>2</v>
      </c>
      <c r="E39" s="16"/>
      <c r="F39" s="16"/>
      <c r="G39" s="16"/>
      <c r="H39" s="18"/>
      <c r="I39" s="18"/>
      <c r="J39" s="18"/>
      <c r="K39" s="18"/>
      <c r="L39" s="16"/>
      <c r="M39" s="16"/>
      <c r="N39" s="16"/>
      <c r="O39" s="18"/>
      <c r="P39" s="18"/>
      <c r="Q39" s="18"/>
      <c r="R39" s="18"/>
      <c r="S39" s="19"/>
      <c r="T39" s="19"/>
      <c r="U39" s="19"/>
      <c r="V39" s="19"/>
      <c r="W39" s="37"/>
      <c r="X39" s="37"/>
      <c r="Y39" s="37"/>
      <c r="Z39" s="37"/>
      <c r="AA39" s="37"/>
      <c r="AB39" s="37"/>
      <c r="AC39" s="37"/>
      <c r="AD39" s="37"/>
      <c r="AE39" s="37"/>
      <c r="AF39" s="37"/>
      <c r="AG39" s="37"/>
      <c r="AH39" s="37"/>
      <c r="AI39" s="19"/>
      <c r="AJ39" s="33"/>
    </row>
    <row r="40" spans="1:66" s="127" customFormat="1">
      <c r="A40" s="135"/>
      <c r="B40" s="135"/>
      <c r="C40" s="136"/>
      <c r="D40" s="137"/>
      <c r="E40" s="16">
        <f t="shared" ref="E40:AK40" si="24">AVERAGE(E3:E27)</f>
        <v>0.57394444444444503</v>
      </c>
      <c r="F40" s="16">
        <f t="shared" si="24"/>
        <v>0.60356620370370395</v>
      </c>
      <c r="G40" s="16">
        <f t="shared" si="24"/>
        <v>0.66650833333333326</v>
      </c>
      <c r="H40" s="18">
        <f t="shared" si="24"/>
        <v>2.9621759259258716E-2</v>
      </c>
      <c r="I40" s="18">
        <f t="shared" si="24"/>
        <v>8.9874999999996815E-3</v>
      </c>
      <c r="J40" s="18">
        <f t="shared" si="24"/>
        <v>9.2563888888888335E-2</v>
      </c>
      <c r="K40" s="18">
        <f t="shared" si="24"/>
        <v>0.11388888888888891</v>
      </c>
      <c r="L40" s="16">
        <f t="shared" si="24"/>
        <v>0.33500000000000002</v>
      </c>
      <c r="M40" s="16">
        <f t="shared" si="24"/>
        <v>0.37375277777777777</v>
      </c>
      <c r="N40" s="16">
        <f t="shared" si="24"/>
        <v>0.47002129629629619</v>
      </c>
      <c r="O40" s="18">
        <f t="shared" si="24"/>
        <v>3.8752777777777796E-2</v>
      </c>
      <c r="P40" s="18">
        <f t="shared" si="24"/>
        <v>1.1829166666666675E-2</v>
      </c>
      <c r="Q40" s="18">
        <f t="shared" si="24"/>
        <v>0.13502129629629628</v>
      </c>
      <c r="R40" s="18">
        <f t="shared" si="24"/>
        <v>0.15694444444444441</v>
      </c>
      <c r="S40" s="158">
        <f t="shared" si="24"/>
        <v>8.8240000000000016</v>
      </c>
      <c r="T40" s="158">
        <f t="shared" si="24"/>
        <v>7.3759999999999994</v>
      </c>
      <c r="U40" s="158">
        <f t="shared" si="24"/>
        <v>5</v>
      </c>
      <c r="V40" s="158">
        <f t="shared" si="24"/>
        <v>5</v>
      </c>
      <c r="W40" s="158">
        <f t="shared" si="24"/>
        <v>7.7600000000000016</v>
      </c>
      <c r="X40" s="158">
        <f t="shared" si="24"/>
        <v>7.1560000000000015</v>
      </c>
      <c r="Y40" s="158">
        <f t="shared" si="24"/>
        <v>3.863999999999999</v>
      </c>
      <c r="Z40" s="158">
        <f t="shared" si="24"/>
        <v>2.8200000000000007</v>
      </c>
      <c r="AA40" s="158">
        <f t="shared" si="24"/>
        <v>1.4480000000000002</v>
      </c>
      <c r="AB40" s="158">
        <f t="shared" si="24"/>
        <v>3.34</v>
      </c>
      <c r="AC40" s="158">
        <f t="shared" si="24"/>
        <v>3.1839999999999997</v>
      </c>
      <c r="AD40" s="158">
        <f t="shared" si="24"/>
        <v>1.4960000000000002</v>
      </c>
      <c r="AE40" s="158">
        <f t="shared" si="24"/>
        <v>5.24</v>
      </c>
      <c r="AF40" s="158">
        <f t="shared" si="24"/>
        <v>2.3199999999999998</v>
      </c>
      <c r="AG40" s="158">
        <f t="shared" si="24"/>
        <v>2.58</v>
      </c>
      <c r="AH40" s="158">
        <f t="shared" si="24"/>
        <v>4.6639999999999997</v>
      </c>
      <c r="AI40" s="158">
        <f t="shared" si="24"/>
        <v>72.072000000000003</v>
      </c>
      <c r="AJ40" s="158">
        <f t="shared" si="24"/>
        <v>5.2</v>
      </c>
      <c r="AK40" s="126" t="e">
        <f t="shared" si="24"/>
        <v>#DIV/0!</v>
      </c>
      <c r="AL40" s="126"/>
      <c r="AM40" s="126"/>
      <c r="AN40" s="126"/>
      <c r="AO40" s="126"/>
      <c r="AP40" s="126"/>
      <c r="AQ40" s="126">
        <f t="shared" ref="AQ40:BN40" si="25">AVERAGE(AQ3:AQ27)</f>
        <v>13.338000000000001</v>
      </c>
      <c r="AR40" s="126">
        <f t="shared" si="25"/>
        <v>13.172000000000001</v>
      </c>
      <c r="AS40" s="126">
        <f t="shared" si="25"/>
        <v>12.804</v>
      </c>
      <c r="AT40" s="126"/>
      <c r="AU40" s="126">
        <f t="shared" si="25"/>
        <v>14.5</v>
      </c>
      <c r="AV40" s="126">
        <f t="shared" si="25"/>
        <v>13.219733333333336</v>
      </c>
      <c r="AW40" s="126">
        <f t="shared" si="25"/>
        <v>13.425200000000002</v>
      </c>
      <c r="AX40" s="126">
        <f t="shared" si="25"/>
        <v>13.2744</v>
      </c>
      <c r="AY40" s="126">
        <f t="shared" si="25"/>
        <v>12.694999999999999</v>
      </c>
      <c r="AZ40" s="126">
        <f t="shared" si="25"/>
        <v>12.992380952380952</v>
      </c>
      <c r="BA40" s="126"/>
      <c r="BB40" s="126">
        <f t="shared" si="25"/>
        <v>13.132333333333333</v>
      </c>
      <c r="BC40" s="126">
        <f t="shared" si="25"/>
        <v>12.154000000000002</v>
      </c>
      <c r="BD40" s="126">
        <f t="shared" si="25"/>
        <v>12.140000000000002</v>
      </c>
      <c r="BE40" s="126">
        <f t="shared" si="25"/>
        <v>11.912000000000003</v>
      </c>
      <c r="BF40" s="126">
        <f t="shared" si="25"/>
        <v>12.270454545454548</v>
      </c>
      <c r="BG40" s="126"/>
      <c r="BH40" s="126">
        <f t="shared" si="25"/>
        <v>12.101900000000001</v>
      </c>
      <c r="BI40" s="126">
        <f t="shared" si="25"/>
        <v>12.139999999999997</v>
      </c>
      <c r="BJ40" s="126">
        <f t="shared" si="25"/>
        <v>11.988000000000001</v>
      </c>
      <c r="BK40" s="126">
        <f t="shared" si="25"/>
        <v>11.728</v>
      </c>
      <c r="BL40" s="126">
        <f t="shared" si="25"/>
        <v>12.052272727272729</v>
      </c>
      <c r="BM40" s="126"/>
      <c r="BN40" s="126">
        <f t="shared" si="25"/>
        <v>11.991166666666665</v>
      </c>
    </row>
    <row r="41" spans="1:66">
      <c r="H41" s="151" t="s">
        <v>243</v>
      </c>
    </row>
    <row r="42" spans="1:66">
      <c r="H42" s="151" t="s">
        <v>244</v>
      </c>
    </row>
    <row r="43" spans="1:66">
      <c r="H43" s="151" t="s">
        <v>258</v>
      </c>
    </row>
    <row r="44" spans="1:66">
      <c r="H44" s="151" t="s">
        <v>595</v>
      </c>
    </row>
    <row r="45" spans="1:66">
      <c r="H45" s="151" t="s">
        <v>596</v>
      </c>
    </row>
    <row r="46" spans="1:66">
      <c r="H46" s="151" t="s">
        <v>597</v>
      </c>
    </row>
    <row r="47" spans="1:66">
      <c r="H47" s="151" t="s">
        <v>598</v>
      </c>
    </row>
    <row r="48" spans="1:66">
      <c r="H48" s="151" t="s">
        <v>260</v>
      </c>
    </row>
    <row r="49" spans="1:66">
      <c r="H49" s="151" t="s">
        <v>248</v>
      </c>
    </row>
    <row r="50" spans="1:66">
      <c r="I50" s="151" t="s">
        <v>250</v>
      </c>
      <c r="J50" s="151" t="s">
        <v>252</v>
      </c>
      <c r="K50" s="151" t="s">
        <v>251</v>
      </c>
    </row>
    <row r="51" spans="1:66">
      <c r="H51" s="157"/>
      <c r="I51" s="157">
        <v>0.125</v>
      </c>
      <c r="J51" s="157">
        <v>0</v>
      </c>
      <c r="K51" s="157">
        <v>5</v>
      </c>
      <c r="O51" s="157"/>
      <c r="P51" s="157"/>
      <c r="Q51" s="157"/>
    </row>
    <row r="52" spans="1:66">
      <c r="H52" s="157"/>
      <c r="I52" s="157">
        <v>0.12516203703703704</v>
      </c>
      <c r="J52" s="157">
        <v>0</v>
      </c>
      <c r="K52" s="157">
        <v>5</v>
      </c>
      <c r="O52" s="157"/>
      <c r="P52" s="157"/>
      <c r="Q52" s="157"/>
    </row>
    <row r="53" spans="1:66">
      <c r="H53" s="157"/>
      <c r="I53" s="157">
        <v>0.125173611111111</v>
      </c>
      <c r="J53" s="157">
        <v>0</v>
      </c>
      <c r="K53" s="157">
        <v>5</v>
      </c>
      <c r="O53" s="157"/>
      <c r="P53" s="157"/>
      <c r="Q53" s="157"/>
    </row>
    <row r="54" spans="1:66">
      <c r="H54" s="157"/>
      <c r="I54" s="157">
        <v>0.12518518518518501</v>
      </c>
      <c r="J54" s="157">
        <v>0.1</v>
      </c>
      <c r="K54" s="157">
        <v>4.9000000000000004</v>
      </c>
      <c r="O54" s="157"/>
      <c r="P54" s="157"/>
      <c r="Q54" s="157"/>
    </row>
    <row r="55" spans="1:66" s="24" customFormat="1">
      <c r="A55" s="22"/>
      <c r="B55" s="22"/>
      <c r="C55" s="23"/>
      <c r="D55" s="23"/>
      <c r="H55" s="157"/>
      <c r="I55" s="157" t="s">
        <v>253</v>
      </c>
      <c r="J55" s="157"/>
      <c r="K55" s="157"/>
      <c r="O55" s="157"/>
      <c r="P55" s="157"/>
      <c r="Q55" s="157"/>
      <c r="R55" s="151"/>
      <c r="S55" s="155"/>
      <c r="T55" s="152"/>
      <c r="U55" s="152"/>
      <c r="V55" s="152"/>
      <c r="W55" s="156"/>
      <c r="X55" s="156"/>
      <c r="Y55" s="156"/>
      <c r="Z55" s="156"/>
      <c r="AA55" s="156"/>
      <c r="AB55" s="156"/>
      <c r="AC55" s="156"/>
      <c r="AD55" s="156"/>
      <c r="AE55" s="156"/>
      <c r="AF55" s="156"/>
      <c r="AG55" s="156"/>
      <c r="AH55" s="156"/>
      <c r="AI55" s="152"/>
      <c r="AJ55" s="152"/>
      <c r="AK55" s="22"/>
      <c r="AL55" s="22"/>
      <c r="AM55"/>
      <c r="AN55"/>
      <c r="AO55"/>
      <c r="AP55"/>
      <c r="AQ55"/>
      <c r="AR55"/>
      <c r="AS55"/>
      <c r="AT55"/>
      <c r="AU55"/>
      <c r="AV55"/>
      <c r="AW55"/>
      <c r="AX55"/>
      <c r="AY55"/>
      <c r="AZ55"/>
      <c r="BA55"/>
      <c r="BB55"/>
      <c r="BC55"/>
      <c r="BD55"/>
      <c r="BE55"/>
      <c r="BF55"/>
      <c r="BG55"/>
      <c r="BH55"/>
      <c r="BI55"/>
      <c r="BJ55"/>
      <c r="BK55"/>
      <c r="BL55"/>
      <c r="BM55"/>
      <c r="BN55"/>
    </row>
    <row r="56" spans="1:66" s="24" customFormat="1">
      <c r="A56" s="22"/>
      <c r="B56" s="22"/>
      <c r="C56" s="23"/>
      <c r="D56" s="23"/>
      <c r="H56" s="157"/>
      <c r="I56" s="157" t="s">
        <v>253</v>
      </c>
      <c r="J56" s="157"/>
      <c r="K56" s="157"/>
      <c r="O56" s="157"/>
      <c r="P56" s="157"/>
      <c r="Q56" s="157"/>
      <c r="R56" s="151"/>
      <c r="S56" s="155"/>
      <c r="T56" s="152"/>
      <c r="U56" s="152"/>
      <c r="V56" s="152"/>
      <c r="W56" s="156"/>
      <c r="X56" s="156"/>
      <c r="Y56" s="156"/>
      <c r="Z56" s="156"/>
      <c r="AA56" s="156"/>
      <c r="AB56" s="156"/>
      <c r="AC56" s="156"/>
      <c r="AD56" s="156"/>
      <c r="AE56" s="156"/>
      <c r="AF56" s="156"/>
      <c r="AG56" s="156"/>
      <c r="AH56" s="156"/>
      <c r="AI56" s="152"/>
      <c r="AJ56" s="152"/>
      <c r="AK56" s="22"/>
      <c r="AL56" s="22"/>
      <c r="AM56"/>
      <c r="AN56"/>
      <c r="AO56"/>
      <c r="AP56"/>
      <c r="AQ56"/>
      <c r="AR56"/>
      <c r="AS56"/>
      <c r="AT56"/>
      <c r="AU56"/>
      <c r="AV56"/>
      <c r="AW56"/>
      <c r="AX56"/>
      <c r="AY56"/>
      <c r="AZ56"/>
      <c r="BA56"/>
      <c r="BB56"/>
      <c r="BC56"/>
      <c r="BD56"/>
      <c r="BE56"/>
      <c r="BF56"/>
      <c r="BG56"/>
      <c r="BH56"/>
      <c r="BI56"/>
      <c r="BJ56"/>
      <c r="BK56"/>
      <c r="BL56"/>
      <c r="BM56"/>
      <c r="BN56"/>
    </row>
    <row r="57" spans="1:66" s="24" customFormat="1">
      <c r="A57" s="22"/>
      <c r="B57" s="22"/>
      <c r="C57" s="23"/>
      <c r="D57" s="23"/>
      <c r="H57" s="157"/>
      <c r="I57" s="157">
        <v>0.12534722222222222</v>
      </c>
      <c r="J57" s="157">
        <v>0.1</v>
      </c>
      <c r="K57" s="157">
        <v>4.9000000000000004</v>
      </c>
      <c r="O57" s="157"/>
      <c r="P57" s="157"/>
      <c r="Q57" s="157"/>
      <c r="R57" s="151"/>
      <c r="S57" s="155"/>
      <c r="T57" s="152"/>
      <c r="U57" s="152"/>
      <c r="V57" s="152"/>
      <c r="W57" s="156"/>
      <c r="X57" s="156"/>
      <c r="Y57" s="156"/>
      <c r="Z57" s="156"/>
      <c r="AA57" s="156"/>
      <c r="AB57" s="156"/>
      <c r="AC57" s="156"/>
      <c r="AD57" s="156"/>
      <c r="AE57" s="156"/>
      <c r="AF57" s="156"/>
      <c r="AG57" s="156"/>
      <c r="AH57" s="156"/>
      <c r="AI57" s="152"/>
      <c r="AJ57" s="152"/>
      <c r="AK57" s="22"/>
      <c r="AL57" s="22"/>
      <c r="AM57"/>
      <c r="AN57"/>
      <c r="AO57"/>
      <c r="AP57"/>
      <c r="AQ57"/>
      <c r="AR57"/>
      <c r="AS57"/>
      <c r="AT57"/>
      <c r="AU57"/>
      <c r="AV57"/>
      <c r="AW57"/>
      <c r="AX57"/>
      <c r="AY57"/>
      <c r="AZ57"/>
      <c r="BA57"/>
      <c r="BB57"/>
      <c r="BC57"/>
      <c r="BD57"/>
      <c r="BE57"/>
      <c r="BF57"/>
      <c r="BG57"/>
      <c r="BH57"/>
      <c r="BI57"/>
      <c r="BJ57"/>
      <c r="BK57"/>
      <c r="BL57"/>
      <c r="BM57"/>
      <c r="BN57"/>
    </row>
    <row r="58" spans="1:66" s="24" customFormat="1">
      <c r="A58" s="22"/>
      <c r="B58" s="22"/>
      <c r="C58" s="23"/>
      <c r="D58" s="23"/>
      <c r="H58" s="157"/>
      <c r="I58" s="157" t="s">
        <v>253</v>
      </c>
      <c r="J58" s="157"/>
      <c r="K58" s="157"/>
      <c r="O58" s="157"/>
      <c r="P58" s="157"/>
      <c r="Q58" s="157"/>
      <c r="R58" s="151"/>
      <c r="S58" s="155"/>
      <c r="T58" s="152"/>
      <c r="U58" s="152"/>
      <c r="V58" s="152"/>
      <c r="W58" s="156"/>
      <c r="X58" s="156"/>
      <c r="Y58" s="156"/>
      <c r="Z58" s="156"/>
      <c r="AA58" s="156"/>
      <c r="AB58" s="156"/>
      <c r="AC58" s="156"/>
      <c r="AD58" s="156"/>
      <c r="AE58" s="156"/>
      <c r="AF58" s="156"/>
      <c r="AG58" s="156"/>
      <c r="AH58" s="156"/>
      <c r="AI58" s="152"/>
      <c r="AJ58" s="152"/>
      <c r="AK58" s="22"/>
      <c r="AL58" s="22"/>
      <c r="AM58"/>
      <c r="AN58"/>
      <c r="AO58"/>
      <c r="AP58"/>
      <c r="AQ58"/>
      <c r="AR58"/>
      <c r="AS58"/>
      <c r="AT58"/>
      <c r="AU58"/>
      <c r="AV58"/>
      <c r="AW58"/>
      <c r="AX58"/>
      <c r="AY58"/>
      <c r="AZ58"/>
      <c r="BA58"/>
      <c r="BB58"/>
      <c r="BC58"/>
      <c r="BD58"/>
      <c r="BE58"/>
      <c r="BF58"/>
      <c r="BG58"/>
      <c r="BH58"/>
      <c r="BI58"/>
      <c r="BJ58"/>
      <c r="BK58"/>
      <c r="BL58"/>
      <c r="BM58"/>
      <c r="BN58"/>
    </row>
    <row r="59" spans="1:66" s="24" customFormat="1">
      <c r="A59" s="22"/>
      <c r="B59" s="22"/>
      <c r="C59" s="23"/>
      <c r="D59" s="23"/>
      <c r="H59" s="157"/>
      <c r="I59" s="157">
        <v>0.12552083333333333</v>
      </c>
      <c r="J59" s="157">
        <v>0.1</v>
      </c>
      <c r="K59" s="157">
        <v>4.9000000000000004</v>
      </c>
      <c r="O59" s="157"/>
      <c r="P59" s="157"/>
      <c r="Q59" s="157"/>
      <c r="R59" s="151"/>
      <c r="S59" s="155"/>
      <c r="T59" s="152"/>
      <c r="U59" s="152"/>
      <c r="V59" s="152"/>
      <c r="W59" s="156"/>
      <c r="X59" s="156"/>
      <c r="Y59" s="156"/>
      <c r="Z59" s="156"/>
      <c r="AA59" s="156"/>
      <c r="AB59" s="156"/>
      <c r="AC59" s="156"/>
      <c r="AD59" s="156"/>
      <c r="AE59" s="156"/>
      <c r="AF59" s="156"/>
      <c r="AG59" s="156"/>
      <c r="AH59" s="156"/>
      <c r="AI59" s="152"/>
      <c r="AJ59" s="152"/>
      <c r="AK59" s="22"/>
      <c r="AL59" s="22"/>
      <c r="AM59"/>
      <c r="AN59"/>
      <c r="AO59"/>
      <c r="AP59"/>
      <c r="AQ59"/>
      <c r="AR59"/>
      <c r="AS59"/>
      <c r="AT59"/>
      <c r="AU59"/>
      <c r="AV59"/>
      <c r="AW59"/>
      <c r="AX59"/>
      <c r="AY59"/>
      <c r="AZ59"/>
      <c r="BA59"/>
      <c r="BB59"/>
      <c r="BC59"/>
      <c r="BD59"/>
      <c r="BE59"/>
      <c r="BF59"/>
      <c r="BG59"/>
      <c r="BH59"/>
      <c r="BI59"/>
      <c r="BJ59"/>
      <c r="BK59"/>
      <c r="BL59"/>
      <c r="BM59"/>
      <c r="BN59"/>
    </row>
    <row r="60" spans="1:66" s="24" customFormat="1">
      <c r="A60" s="22"/>
      <c r="B60" s="22"/>
      <c r="C60" s="23"/>
      <c r="D60" s="23"/>
      <c r="H60" s="157"/>
      <c r="I60" s="157">
        <v>0.12553240740740743</v>
      </c>
      <c r="J60" s="157">
        <v>0.2</v>
      </c>
      <c r="K60" s="157">
        <v>4.8</v>
      </c>
      <c r="O60" s="157"/>
      <c r="P60" s="157"/>
      <c r="Q60" s="157"/>
      <c r="R60" s="151"/>
      <c r="S60" s="155"/>
      <c r="T60" s="152"/>
      <c r="U60" s="152"/>
      <c r="V60" s="152"/>
      <c r="W60" s="156"/>
      <c r="X60" s="156"/>
      <c r="Y60" s="156"/>
      <c r="Z60" s="156"/>
      <c r="AA60" s="156"/>
      <c r="AB60" s="156"/>
      <c r="AC60" s="156"/>
      <c r="AD60" s="156"/>
      <c r="AE60" s="156"/>
      <c r="AF60" s="156"/>
      <c r="AG60" s="156"/>
      <c r="AH60" s="156"/>
      <c r="AI60" s="152"/>
      <c r="AJ60" s="152"/>
      <c r="AK60" s="22"/>
      <c r="AL60" s="22"/>
      <c r="AM60"/>
      <c r="AN60"/>
      <c r="AO60"/>
      <c r="AP60"/>
      <c r="AQ60"/>
      <c r="AR60"/>
      <c r="AS60"/>
      <c r="AT60"/>
      <c r="AU60"/>
      <c r="AV60"/>
      <c r="AW60"/>
      <c r="AX60"/>
      <c r="AY60"/>
      <c r="AZ60"/>
      <c r="BA60"/>
      <c r="BB60"/>
      <c r="BC60"/>
      <c r="BD60"/>
      <c r="BE60"/>
      <c r="BF60"/>
      <c r="BG60"/>
      <c r="BH60"/>
      <c r="BI60"/>
      <c r="BJ60"/>
      <c r="BK60"/>
      <c r="BL60"/>
      <c r="BM60"/>
      <c r="BN60"/>
    </row>
    <row r="61" spans="1:66" s="24" customFormat="1">
      <c r="A61" s="22"/>
      <c r="B61" s="22"/>
      <c r="C61" s="23"/>
      <c r="D61" s="23"/>
      <c r="H61" s="157"/>
      <c r="I61" s="157" t="s">
        <v>253</v>
      </c>
      <c r="J61" s="157"/>
      <c r="K61" s="157"/>
      <c r="O61" s="157"/>
      <c r="P61" s="157"/>
      <c r="Q61" s="157"/>
      <c r="R61" s="151"/>
      <c r="S61" s="155"/>
      <c r="T61" s="152"/>
      <c r="U61" s="152"/>
      <c r="V61" s="152"/>
      <c r="W61" s="156"/>
      <c r="X61" s="156"/>
      <c r="Y61" s="156"/>
      <c r="Z61" s="156"/>
      <c r="AA61" s="156"/>
      <c r="AB61" s="156"/>
      <c r="AC61" s="156"/>
      <c r="AD61" s="156"/>
      <c r="AE61" s="156"/>
      <c r="AF61" s="156"/>
      <c r="AG61" s="156"/>
      <c r="AH61" s="156"/>
      <c r="AI61" s="152"/>
      <c r="AJ61" s="152"/>
      <c r="AK61" s="22"/>
      <c r="AL61" s="22"/>
      <c r="AM61"/>
      <c r="AN61"/>
      <c r="AO61"/>
      <c r="AP61"/>
      <c r="AQ61"/>
      <c r="AR61"/>
      <c r="AS61"/>
      <c r="AT61"/>
      <c r="AU61"/>
      <c r="AV61"/>
      <c r="AW61"/>
      <c r="AX61"/>
      <c r="AY61"/>
      <c r="AZ61"/>
      <c r="BA61"/>
      <c r="BB61"/>
      <c r="BC61"/>
      <c r="BD61"/>
      <c r="BE61"/>
      <c r="BF61"/>
      <c r="BG61"/>
      <c r="BH61"/>
      <c r="BI61"/>
      <c r="BJ61"/>
      <c r="BK61"/>
      <c r="BL61"/>
      <c r="BM61"/>
      <c r="BN61"/>
    </row>
    <row r="62" spans="1:66" s="24" customFormat="1">
      <c r="A62" s="22"/>
      <c r="B62" s="22"/>
      <c r="C62" s="23"/>
      <c r="D62" s="23"/>
      <c r="H62" s="157"/>
      <c r="I62" s="157">
        <v>0.12586805555555555</v>
      </c>
      <c r="J62" s="157">
        <v>0.2</v>
      </c>
      <c r="K62" s="157">
        <v>4.8</v>
      </c>
      <c r="O62" s="157"/>
      <c r="P62" s="157"/>
      <c r="Q62" s="157"/>
      <c r="R62" s="151"/>
      <c r="S62" s="155"/>
      <c r="T62" s="152"/>
      <c r="U62" s="152"/>
      <c r="V62" s="152"/>
      <c r="W62" s="156"/>
      <c r="X62" s="156"/>
      <c r="Y62" s="156"/>
      <c r="Z62" s="156"/>
      <c r="AA62" s="156"/>
      <c r="AB62" s="156"/>
      <c r="AC62" s="156"/>
      <c r="AD62" s="156"/>
      <c r="AE62" s="156"/>
      <c r="AF62" s="156"/>
      <c r="AG62" s="156"/>
      <c r="AH62" s="156"/>
      <c r="AI62" s="152"/>
      <c r="AJ62" s="152"/>
      <c r="AK62" s="22"/>
      <c r="AL62" s="22"/>
      <c r="AM62"/>
      <c r="AN62"/>
      <c r="AO62"/>
      <c r="AP62"/>
      <c r="AQ62"/>
      <c r="AR62"/>
      <c r="AS62"/>
      <c r="AT62"/>
      <c r="AU62"/>
      <c r="AV62"/>
      <c r="AW62"/>
      <c r="AX62"/>
      <c r="AY62"/>
      <c r="AZ62"/>
      <c r="BA62"/>
      <c r="BB62"/>
      <c r="BC62"/>
      <c r="BD62"/>
      <c r="BE62"/>
      <c r="BF62"/>
      <c r="BG62"/>
      <c r="BH62"/>
      <c r="BI62"/>
      <c r="BJ62"/>
      <c r="BK62"/>
      <c r="BL62"/>
      <c r="BM62"/>
      <c r="BN62"/>
    </row>
    <row r="63" spans="1:66" s="24" customFormat="1">
      <c r="A63" s="22"/>
      <c r="B63" s="22"/>
      <c r="C63" s="23"/>
      <c r="D63" s="23"/>
      <c r="H63" s="157"/>
      <c r="I63" s="157">
        <v>0.12587962962962965</v>
      </c>
      <c r="J63" s="157">
        <v>0.3</v>
      </c>
      <c r="K63" s="157">
        <v>4.7</v>
      </c>
      <c r="O63" s="157"/>
      <c r="P63" s="157"/>
      <c r="Q63" s="157"/>
      <c r="R63" s="151"/>
      <c r="S63" s="155"/>
      <c r="T63" s="152"/>
      <c r="U63" s="152"/>
      <c r="V63" s="152"/>
      <c r="W63" s="156"/>
      <c r="X63" s="156"/>
      <c r="Y63" s="156"/>
      <c r="Z63" s="156"/>
      <c r="AA63" s="156"/>
      <c r="AB63" s="156"/>
      <c r="AC63" s="156"/>
      <c r="AD63" s="156"/>
      <c r="AE63" s="156"/>
      <c r="AF63" s="156"/>
      <c r="AG63" s="156"/>
      <c r="AH63" s="156"/>
      <c r="AI63" s="152"/>
      <c r="AJ63" s="152"/>
      <c r="AK63" s="22"/>
      <c r="AL63" s="22"/>
      <c r="AM63"/>
      <c r="AN63"/>
      <c r="AO63"/>
      <c r="AP63"/>
      <c r="AQ63"/>
      <c r="AR63"/>
      <c r="AS63"/>
      <c r="AT63"/>
      <c r="AU63"/>
      <c r="AV63"/>
      <c r="AW63"/>
      <c r="AX63"/>
      <c r="AY63"/>
      <c r="AZ63"/>
      <c r="BA63"/>
      <c r="BB63"/>
      <c r="BC63"/>
      <c r="BD63"/>
      <c r="BE63"/>
      <c r="BF63"/>
      <c r="BG63"/>
      <c r="BH63"/>
      <c r="BI63"/>
      <c r="BJ63"/>
      <c r="BK63"/>
      <c r="BL63"/>
      <c r="BM63"/>
      <c r="BN63"/>
    </row>
    <row r="64" spans="1:66" s="24" customFormat="1">
      <c r="A64" s="22"/>
      <c r="B64" s="22"/>
      <c r="C64" s="23"/>
      <c r="D64" s="23"/>
      <c r="H64" s="151"/>
      <c r="I64" s="151" t="s">
        <v>253</v>
      </c>
      <c r="J64" s="151"/>
      <c r="K64" s="151"/>
      <c r="O64" s="151"/>
      <c r="P64" s="151"/>
      <c r="Q64" s="151"/>
      <c r="R64" s="151"/>
      <c r="S64" s="155"/>
      <c r="T64" s="152"/>
      <c r="U64" s="152"/>
      <c r="V64" s="152"/>
      <c r="W64" s="156"/>
      <c r="X64" s="156"/>
      <c r="Y64" s="156"/>
      <c r="Z64" s="156"/>
      <c r="AA64" s="156"/>
      <c r="AB64" s="156"/>
      <c r="AC64" s="156"/>
      <c r="AD64" s="156"/>
      <c r="AE64" s="156"/>
      <c r="AF64" s="156"/>
      <c r="AG64" s="156"/>
      <c r="AH64" s="156"/>
      <c r="AI64" s="152"/>
      <c r="AJ64" s="152"/>
      <c r="AK64" s="22"/>
      <c r="AL64" s="22"/>
      <c r="AM64"/>
      <c r="AN64"/>
      <c r="AO64"/>
      <c r="AP64"/>
      <c r="AQ64"/>
      <c r="AR64"/>
      <c r="AS64"/>
      <c r="AT64"/>
      <c r="AU64"/>
      <c r="AV64"/>
      <c r="AW64"/>
      <c r="AX64"/>
      <c r="AY64"/>
      <c r="AZ64"/>
      <c r="BA64"/>
      <c r="BB64"/>
      <c r="BC64"/>
      <c r="BD64"/>
      <c r="BE64"/>
      <c r="BF64"/>
      <c r="BG64"/>
      <c r="BH64"/>
      <c r="BI64"/>
      <c r="BJ64"/>
      <c r="BK64"/>
      <c r="BL64"/>
      <c r="BM64"/>
      <c r="BN64"/>
    </row>
    <row r="65" spans="1:66" s="24" customFormat="1">
      <c r="A65" s="22"/>
      <c r="B65" s="22"/>
      <c r="C65" s="23"/>
      <c r="D65" s="23"/>
      <c r="H65" s="151" t="s">
        <v>254</v>
      </c>
      <c r="I65" s="151"/>
      <c r="J65" s="151"/>
      <c r="K65" s="151"/>
      <c r="O65" s="151"/>
      <c r="P65" s="151"/>
      <c r="Q65" s="151"/>
      <c r="R65" s="151"/>
      <c r="S65" s="155"/>
      <c r="T65" s="152"/>
      <c r="U65" s="152"/>
      <c r="V65" s="152"/>
      <c r="W65" s="156"/>
      <c r="X65" s="156"/>
      <c r="Y65" s="156"/>
      <c r="Z65" s="156"/>
      <c r="AA65" s="156"/>
      <c r="AB65" s="156"/>
      <c r="AC65" s="156"/>
      <c r="AD65" s="156"/>
      <c r="AE65" s="156"/>
      <c r="AF65" s="156"/>
      <c r="AG65" s="156"/>
      <c r="AH65" s="156"/>
      <c r="AI65" s="152"/>
      <c r="AJ65" s="152"/>
      <c r="AK65" s="22"/>
      <c r="AL65" s="22"/>
      <c r="AM65"/>
      <c r="AN65"/>
      <c r="AO65"/>
      <c r="AP65"/>
      <c r="AQ65"/>
      <c r="AR65"/>
      <c r="AS65"/>
      <c r="AT65"/>
      <c r="AU65"/>
      <c r="AV65"/>
      <c r="AW65"/>
      <c r="AX65"/>
      <c r="AY65"/>
      <c r="AZ65"/>
      <c r="BA65"/>
      <c r="BB65"/>
      <c r="BC65"/>
      <c r="BD65"/>
      <c r="BE65"/>
      <c r="BF65"/>
      <c r="BG65"/>
      <c r="BH65"/>
      <c r="BI65"/>
      <c r="BJ65"/>
      <c r="BK65"/>
      <c r="BL65"/>
      <c r="BM65"/>
      <c r="BN65"/>
    </row>
    <row r="66" spans="1:66" s="24" customFormat="1">
      <c r="A66" s="22"/>
      <c r="B66" s="22"/>
      <c r="C66" s="23"/>
      <c r="D66" s="23"/>
      <c r="H66" s="151" t="s">
        <v>599</v>
      </c>
      <c r="I66" s="151"/>
      <c r="J66" s="151"/>
      <c r="K66" s="151"/>
      <c r="O66" s="151"/>
      <c r="P66" s="151"/>
      <c r="Q66" s="151"/>
      <c r="R66" s="151"/>
      <c r="S66" s="155"/>
      <c r="T66" s="152"/>
      <c r="U66" s="152"/>
      <c r="V66" s="152"/>
      <c r="W66" s="156"/>
      <c r="X66" s="156"/>
      <c r="Y66" s="156"/>
      <c r="Z66" s="156"/>
      <c r="AA66" s="156"/>
      <c r="AB66" s="156"/>
      <c r="AC66" s="156"/>
      <c r="AD66" s="156"/>
      <c r="AE66" s="156"/>
      <c r="AF66" s="156"/>
      <c r="AG66" s="156"/>
      <c r="AH66" s="156"/>
      <c r="AI66" s="152"/>
      <c r="AJ66" s="152"/>
      <c r="AK66" s="22"/>
      <c r="AL66" s="22"/>
      <c r="AM66"/>
      <c r="AN66"/>
      <c r="AO66"/>
      <c r="AP66"/>
      <c r="AQ66"/>
      <c r="AR66"/>
      <c r="AS66"/>
      <c r="AT66"/>
      <c r="AU66"/>
      <c r="AV66"/>
      <c r="AW66"/>
      <c r="AX66"/>
      <c r="AY66"/>
      <c r="AZ66"/>
      <c r="BA66"/>
      <c r="BB66"/>
      <c r="BC66"/>
      <c r="BD66"/>
      <c r="BE66"/>
      <c r="BF66"/>
      <c r="BG66"/>
      <c r="BH66"/>
      <c r="BI66"/>
      <c r="BJ66"/>
      <c r="BK66"/>
      <c r="BL66"/>
      <c r="BM66"/>
      <c r="BN66"/>
    </row>
    <row r="67" spans="1:66" s="24" customFormat="1">
      <c r="A67" s="22"/>
      <c r="B67" s="22"/>
      <c r="C67" s="23"/>
      <c r="D67" s="23"/>
      <c r="H67" s="151" t="s">
        <v>255</v>
      </c>
      <c r="I67" s="151"/>
      <c r="J67" s="151"/>
      <c r="K67" s="151"/>
      <c r="O67" s="151"/>
      <c r="P67" s="151"/>
      <c r="Q67" s="151"/>
      <c r="R67" s="151"/>
      <c r="S67" s="155"/>
      <c r="T67" s="152"/>
      <c r="U67" s="152"/>
      <c r="V67" s="152"/>
      <c r="W67" s="156"/>
      <c r="X67" s="156"/>
      <c r="Y67" s="156"/>
      <c r="Z67" s="156"/>
      <c r="AA67" s="156"/>
      <c r="AB67" s="156"/>
      <c r="AC67" s="156"/>
      <c r="AD67" s="156"/>
      <c r="AE67" s="156"/>
      <c r="AF67" s="156"/>
      <c r="AG67" s="156"/>
      <c r="AH67" s="156"/>
      <c r="AI67" s="152"/>
      <c r="AJ67" s="152"/>
      <c r="AK67" s="22"/>
      <c r="AL67" s="22"/>
      <c r="AM67"/>
      <c r="AN67"/>
      <c r="AO67"/>
      <c r="AP67"/>
      <c r="AQ67"/>
      <c r="AR67"/>
      <c r="AS67"/>
      <c r="AT67"/>
      <c r="AU67"/>
      <c r="AV67"/>
      <c r="AW67"/>
      <c r="AX67"/>
      <c r="AY67"/>
      <c r="AZ67"/>
      <c r="BA67"/>
      <c r="BB67"/>
      <c r="BC67"/>
      <c r="BD67"/>
      <c r="BE67"/>
      <c r="BF67"/>
      <c r="BG67"/>
      <c r="BH67"/>
      <c r="BI67"/>
      <c r="BJ67"/>
      <c r="BK67"/>
      <c r="BL67"/>
      <c r="BM67"/>
      <c r="BN67"/>
    </row>
    <row r="68" spans="1:66" s="24" customFormat="1">
      <c r="A68" s="22"/>
      <c r="B68" s="22"/>
      <c r="C68" s="23"/>
      <c r="D68" s="23"/>
      <c r="H68" s="151" t="s">
        <v>256</v>
      </c>
      <c r="I68" s="151"/>
      <c r="J68" s="151"/>
      <c r="K68" s="151"/>
      <c r="O68" s="151"/>
      <c r="P68" s="151"/>
      <c r="Q68" s="151"/>
      <c r="R68" s="151"/>
      <c r="S68" s="155"/>
      <c r="T68" s="152"/>
      <c r="U68" s="152"/>
      <c r="V68" s="152"/>
      <c r="W68" s="156"/>
      <c r="X68" s="156"/>
      <c r="Y68" s="156"/>
      <c r="Z68" s="156"/>
      <c r="AA68" s="156"/>
      <c r="AB68" s="156"/>
      <c r="AC68" s="156"/>
      <c r="AD68" s="156"/>
      <c r="AE68" s="156"/>
      <c r="AF68" s="156"/>
      <c r="AG68" s="156"/>
      <c r="AH68" s="156"/>
      <c r="AI68" s="152"/>
      <c r="AJ68" s="152"/>
      <c r="AK68" s="22"/>
      <c r="AL68" s="22"/>
      <c r="AM68"/>
      <c r="AN68"/>
      <c r="AO68"/>
      <c r="AP68"/>
      <c r="AQ68"/>
      <c r="AR68"/>
      <c r="AS68"/>
      <c r="AT68"/>
      <c r="AU68"/>
      <c r="AV68"/>
      <c r="AW68"/>
      <c r="AX68"/>
      <c r="AY68"/>
      <c r="AZ68"/>
      <c r="BA68"/>
      <c r="BB68"/>
      <c r="BC68"/>
      <c r="BD68"/>
      <c r="BE68"/>
      <c r="BF68"/>
      <c r="BG68"/>
      <c r="BH68"/>
      <c r="BI68"/>
      <c r="BJ68"/>
      <c r="BK68"/>
      <c r="BL68"/>
      <c r="BM68"/>
      <c r="BN68"/>
    </row>
    <row r="69" spans="1:66" s="24" customFormat="1">
      <c r="A69" s="22"/>
      <c r="B69" s="22"/>
      <c r="C69" s="23"/>
      <c r="D69" s="23"/>
      <c r="H69" s="151" t="s">
        <v>259</v>
      </c>
      <c r="I69" s="151"/>
      <c r="J69" s="151"/>
      <c r="K69" s="151"/>
      <c r="O69" s="151"/>
      <c r="P69" s="151"/>
      <c r="Q69" s="151"/>
      <c r="R69" s="151"/>
      <c r="S69" s="155"/>
      <c r="T69" s="152"/>
      <c r="U69" s="152"/>
      <c r="V69" s="152"/>
      <c r="W69" s="156"/>
      <c r="X69" s="156"/>
      <c r="Y69" s="156"/>
      <c r="Z69" s="156"/>
      <c r="AA69" s="156"/>
      <c r="AB69" s="156"/>
      <c r="AC69" s="156"/>
      <c r="AD69" s="156"/>
      <c r="AE69" s="156"/>
      <c r="AF69" s="156"/>
      <c r="AG69" s="156"/>
      <c r="AH69" s="156"/>
      <c r="AI69" s="152"/>
      <c r="AJ69" s="152"/>
      <c r="AK69" s="22"/>
      <c r="AL69" s="22"/>
      <c r="AM69"/>
      <c r="AN69"/>
      <c r="AO69"/>
      <c r="AP69"/>
      <c r="AQ69"/>
      <c r="AR69"/>
      <c r="AS69"/>
      <c r="AT69"/>
      <c r="AU69"/>
      <c r="AV69"/>
      <c r="AW69"/>
      <c r="AX69"/>
      <c r="AY69"/>
      <c r="AZ69"/>
      <c r="BA69"/>
      <c r="BB69"/>
      <c r="BC69"/>
      <c r="BD69"/>
      <c r="BE69"/>
      <c r="BF69"/>
      <c r="BG69"/>
      <c r="BH69"/>
      <c r="BI69"/>
      <c r="BJ69"/>
      <c r="BK69"/>
      <c r="BL69"/>
      <c r="BM69"/>
      <c r="BN69"/>
    </row>
  </sheetData>
  <phoneticPr fontId="3"/>
  <conditionalFormatting sqref="BB3:BB28 AV3:AV28">
    <cfRule type="cellIs" dxfId="15" priority="2" stopIfTrue="1" operator="lessThanOrEqual">
      <formula>12</formula>
    </cfRule>
  </conditionalFormatting>
  <conditionalFormatting sqref="BH3:BH32 BN3:BN28">
    <cfRule type="cellIs" dxfId="14" priority="1" stopIfTrue="1" operator="lessThanOrEqual">
      <formula>11</formula>
    </cfRule>
  </conditionalFormatting>
  <pageMargins left="0.23" right="0.2" top="0.98399999999999999" bottom="0.98399999999999999" header="0.51200000000000001" footer="0.51200000000000001"/>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master</vt:lpstr>
      <vt:lpstr>2004</vt:lpstr>
      <vt:lpstr>2005</vt:lpstr>
      <vt:lpstr>2006</vt:lpstr>
      <vt:lpstr>2007</vt:lpstr>
      <vt:lpstr>2008</vt:lpstr>
      <vt:lpstr>2009</vt:lpstr>
      <vt:lpstr>2010</vt:lpstr>
      <vt:lpstr>2011</vt:lpstr>
      <vt:lpstr>2012</vt:lpstr>
      <vt:lpstr>2013</vt:lpstr>
      <vt:lpstr>2014</vt:lpstr>
      <vt:lpstr>2015</vt:lpstr>
      <vt:lpstr>2016</vt:lpstr>
      <vt:lpstr>print</vt:lpstr>
      <vt:lpstr>出走順</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master!Print_Area</vt:lpstr>
      <vt:lpstr>print!Print_Area</vt:lpstr>
      <vt:lpstr>出走順!Print_Area</vt:lpstr>
      <vt:lpstr>TR1A</vt:lpstr>
      <vt:lpstr>TR1B</vt:lpstr>
      <vt:lpstr>TR1D</vt:lpstr>
      <vt:lpstr>TR1E</vt:lpstr>
      <vt:lpstr>TR2A</vt:lpstr>
      <vt:lpstr>TR2B</vt:lpstr>
      <vt:lpstr>TR2D</vt:lpstr>
      <vt:lpstr>TR2E</vt:lpstr>
      <vt:lpstr>TTLA</vt:lpstr>
      <vt:lpstr>TTLB</vt:lpstr>
      <vt:lpstr>TTLD</vt:lpstr>
      <vt:lpstr>TTLE</vt:lpstr>
    </vt:vector>
  </TitlesOfParts>
  <Company>広島県教育委員会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ichiro</dc:creator>
  <cp:lastModifiedBy>広島県高等学校体育連盟登山専門部</cp:lastModifiedBy>
  <cp:lastPrinted>2016-06-05T04:37:24Z</cp:lastPrinted>
  <dcterms:created xsi:type="dcterms:W3CDTF">2004-06-05T07:51:55Z</dcterms:created>
  <dcterms:modified xsi:type="dcterms:W3CDTF">2016-06-05T04:40:56Z</dcterms:modified>
</cp:coreProperties>
</file>