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260" windowHeight="8160" activeTab="9"/>
  </bookViews>
  <sheets>
    <sheet name="2004" sheetId="6" r:id="rId1"/>
    <sheet name="2008" sheetId="7" r:id="rId2"/>
    <sheet name="2009" sheetId="8" r:id="rId3"/>
    <sheet name="2010" sheetId="10" r:id="rId4"/>
    <sheet name="2011" sheetId="11" r:id="rId5"/>
    <sheet name="2012" sheetId="13" r:id="rId6"/>
    <sheet name="2013" sheetId="15" r:id="rId7"/>
    <sheet name="2014" sheetId="16" r:id="rId8"/>
    <sheet name="2015" sheetId="17" r:id="rId9"/>
    <sheet name="print" sheetId="9" r:id="rId10"/>
  </sheets>
  <definedNames>
    <definedName name="_xlnm._FilterDatabase" localSheetId="0" hidden="1">'2004'!$A$1:$AA$69</definedName>
    <definedName name="_xlnm._FilterDatabase" localSheetId="1" hidden="1">'2008'!$A$1:$AB$26</definedName>
    <definedName name="_xlnm._FilterDatabase" localSheetId="2" hidden="1">'2009'!$A$1:$AB$23</definedName>
    <definedName name="_xlnm._FilterDatabase" localSheetId="3" hidden="1">'2010'!$A$1:$AB$26</definedName>
    <definedName name="_xlnm._FilterDatabase" localSheetId="4" hidden="1">'2011'!$A$1:$T$29</definedName>
    <definedName name="_xlnm._FilterDatabase" localSheetId="5" hidden="1">'2012'!$A$1:$AB$23</definedName>
    <definedName name="_xlnm._FilterDatabase" localSheetId="6" hidden="1">'2013'!$A$1:$AB$32</definedName>
    <definedName name="_xlnm.Print_Area" localSheetId="0">'2004'!$A$1:$AB$31</definedName>
    <definedName name="_xlnm.Print_Area" localSheetId="1">'2008'!$A$1:$AC$26</definedName>
    <definedName name="_xlnm.Print_Area" localSheetId="2">'2009'!$A$1:$AC$23</definedName>
    <definedName name="_xlnm.Print_Area" localSheetId="3">'2010'!$A$1:$AC$26</definedName>
    <definedName name="_xlnm.Print_Area" localSheetId="4">'2011'!$A$1:$U$29</definedName>
    <definedName name="_xlnm.Print_Area" localSheetId="5">'2012'!$A$1:$AC$23</definedName>
    <definedName name="_xlnm.Print_Area" localSheetId="6">'2013'!$A$1:$AC$32</definedName>
    <definedName name="_xlnm.Print_Area" localSheetId="7">'2014'!$A$1:$AC$42</definedName>
    <definedName name="_xlnm.Print_Area" localSheetId="8">'2015'!$A$1:$AA$36</definedName>
  </definedNames>
  <calcPr calcId="145621" concurrentCalc="0"/>
</workbook>
</file>

<file path=xl/calcChain.xml><?xml version="1.0" encoding="utf-8"?>
<calcChain xmlns="http://schemas.openxmlformats.org/spreadsheetml/2006/main">
  <c r="M35" i="9" l="1"/>
  <c r="M36" i="9"/>
  <c r="L35" i="9"/>
  <c r="L36" i="9"/>
  <c r="M34" i="9"/>
  <c r="L34" i="9"/>
  <c r="M33" i="9"/>
  <c r="L33" i="9"/>
  <c r="J3" i="17"/>
  <c r="AM3" i="17"/>
  <c r="AO3" i="17"/>
  <c r="L3" i="17"/>
  <c r="J4" i="17"/>
  <c r="L4" i="17"/>
  <c r="J5" i="17"/>
  <c r="L5" i="17"/>
  <c r="J6" i="17"/>
  <c r="L6" i="17"/>
  <c r="J7" i="17"/>
  <c r="L7" i="17"/>
  <c r="J8" i="17"/>
  <c r="L8" i="17"/>
  <c r="J9" i="17"/>
  <c r="L9" i="17"/>
  <c r="J11" i="17"/>
  <c r="L11" i="17"/>
  <c r="J12" i="17"/>
  <c r="L12" i="17"/>
  <c r="J13" i="17"/>
  <c r="L13" i="17"/>
  <c r="J14" i="17"/>
  <c r="L14" i="17"/>
  <c r="J15" i="17"/>
  <c r="L15" i="17"/>
  <c r="J16" i="17"/>
  <c r="L16" i="17"/>
  <c r="J17" i="17"/>
  <c r="L17" i="17"/>
  <c r="J18" i="17"/>
  <c r="L18" i="17"/>
  <c r="J19" i="17"/>
  <c r="L19" i="17"/>
  <c r="J20" i="17"/>
  <c r="L20" i="17"/>
  <c r="J21" i="17"/>
  <c r="L21" i="17"/>
  <c r="J22" i="17"/>
  <c r="L22" i="17"/>
  <c r="J23" i="17"/>
  <c r="L23" i="17"/>
  <c r="J24" i="17"/>
  <c r="L24" i="17"/>
  <c r="J25" i="17"/>
  <c r="L25" i="17"/>
  <c r="J26" i="17"/>
  <c r="L26" i="17"/>
  <c r="J27" i="17"/>
  <c r="L27" i="17"/>
  <c r="J28" i="17"/>
  <c r="L28" i="17"/>
  <c r="J29" i="17"/>
  <c r="L29" i="17"/>
  <c r="J30" i="17"/>
  <c r="L30" i="17"/>
  <c r="L33" i="17"/>
  <c r="K3" i="17"/>
  <c r="M3" i="17"/>
  <c r="K4" i="17"/>
  <c r="M4" i="17"/>
  <c r="K5" i="17"/>
  <c r="M5" i="17"/>
  <c r="K6" i="17"/>
  <c r="M6" i="17"/>
  <c r="K7" i="17"/>
  <c r="M7" i="17"/>
  <c r="K8" i="17"/>
  <c r="M8" i="17"/>
  <c r="K9" i="17"/>
  <c r="M9" i="17"/>
  <c r="K11" i="17"/>
  <c r="M11" i="17"/>
  <c r="K12" i="17"/>
  <c r="M12" i="17"/>
  <c r="K13" i="17"/>
  <c r="M13" i="17"/>
  <c r="K14" i="17"/>
  <c r="M14" i="17"/>
  <c r="K15" i="17"/>
  <c r="M15" i="17"/>
  <c r="K16" i="17"/>
  <c r="M16" i="17"/>
  <c r="K17" i="17"/>
  <c r="M17" i="17"/>
  <c r="K18" i="17"/>
  <c r="M18" i="17"/>
  <c r="K19" i="17"/>
  <c r="M19" i="17"/>
  <c r="K20" i="17"/>
  <c r="M20" i="17"/>
  <c r="K21" i="17"/>
  <c r="M21" i="17"/>
  <c r="K22" i="17"/>
  <c r="M22" i="17"/>
  <c r="K23" i="17"/>
  <c r="M23" i="17"/>
  <c r="K24" i="17"/>
  <c r="M24" i="17"/>
  <c r="K25" i="17"/>
  <c r="M25" i="17"/>
  <c r="K26" i="17"/>
  <c r="M26" i="17"/>
  <c r="K27" i="17"/>
  <c r="M27" i="17"/>
  <c r="K28" i="17"/>
  <c r="M28" i="17"/>
  <c r="K29" i="17"/>
  <c r="M29" i="17"/>
  <c r="K30" i="17"/>
  <c r="M30" i="17"/>
  <c r="M33" i="17"/>
  <c r="L34" i="17"/>
  <c r="M34" i="17"/>
  <c r="L35" i="17"/>
  <c r="L36" i="17"/>
  <c r="M35" i="17"/>
  <c r="M36" i="17"/>
  <c r="AM30" i="17"/>
  <c r="AO30" i="17"/>
  <c r="AG30" i="17"/>
  <c r="AM29" i="17"/>
  <c r="AO29" i="17"/>
  <c r="AG29" i="17"/>
  <c r="AM28" i="17"/>
  <c r="AO28" i="17"/>
  <c r="AG28" i="17"/>
  <c r="AM27" i="17"/>
  <c r="AO27" i="17"/>
  <c r="AG27" i="17"/>
  <c r="AM26" i="17"/>
  <c r="AO26" i="17"/>
  <c r="AG26" i="17"/>
  <c r="AM25" i="17"/>
  <c r="AO25" i="17"/>
  <c r="AG25" i="17"/>
  <c r="AM24" i="17"/>
  <c r="AO24" i="17"/>
  <c r="AG24" i="17"/>
  <c r="AM23" i="17"/>
  <c r="AO23" i="17"/>
  <c r="AG23" i="17"/>
  <c r="AM22" i="17"/>
  <c r="AO22" i="17"/>
  <c r="AG22" i="17"/>
  <c r="AM21" i="17"/>
  <c r="AO21" i="17"/>
  <c r="AG21" i="17"/>
  <c r="AM20" i="17"/>
  <c r="AO20" i="17"/>
  <c r="AG20" i="17"/>
  <c r="AM19" i="17"/>
  <c r="AO19" i="17"/>
  <c r="AG19" i="17"/>
  <c r="AM18" i="17"/>
  <c r="AO18" i="17"/>
  <c r="AG18" i="17"/>
  <c r="AM17" i="17"/>
  <c r="AO17" i="17"/>
  <c r="AG17" i="17"/>
  <c r="AM16" i="17"/>
  <c r="AO16" i="17"/>
  <c r="AG16" i="17"/>
  <c r="AM15" i="17"/>
  <c r="AO15" i="17"/>
  <c r="AG15" i="17"/>
  <c r="AM14" i="17"/>
  <c r="AO14" i="17"/>
  <c r="AG14" i="17"/>
  <c r="AM13" i="17"/>
  <c r="AO13" i="17"/>
  <c r="AG13" i="17"/>
  <c r="AM12" i="17"/>
  <c r="AO12" i="17"/>
  <c r="AG12" i="17"/>
  <c r="AM11" i="17"/>
  <c r="AO11" i="17"/>
  <c r="AG11" i="17"/>
  <c r="AM10" i="17"/>
  <c r="AO10" i="17"/>
  <c r="AG10" i="17"/>
  <c r="AM9" i="17"/>
  <c r="AO9" i="17"/>
  <c r="AG9" i="17"/>
  <c r="AM8" i="17"/>
  <c r="AO8" i="17"/>
  <c r="AG8" i="17"/>
  <c r="AM7" i="17"/>
  <c r="AO7" i="17"/>
  <c r="AG7" i="17"/>
  <c r="AM6" i="17"/>
  <c r="AO6" i="17"/>
  <c r="AG6" i="17"/>
  <c r="AM5" i="17"/>
  <c r="AO5" i="17"/>
  <c r="AG5" i="17"/>
  <c r="AM4" i="17"/>
  <c r="AO4" i="17"/>
  <c r="AG4" i="17"/>
  <c r="AG3" i="17"/>
  <c r="Y2" i="17"/>
  <c r="Y4" i="17"/>
  <c r="Y9" i="17"/>
  <c r="X35" i="17"/>
  <c r="X36" i="17"/>
  <c r="V35" i="17"/>
  <c r="V36" i="17"/>
  <c r="U35" i="17"/>
  <c r="U36" i="17"/>
  <c r="S35" i="17"/>
  <c r="S36" i="17"/>
  <c r="R35" i="17"/>
  <c r="R36" i="17"/>
  <c r="W35" i="17"/>
  <c r="W36" i="17"/>
  <c r="T35" i="17"/>
  <c r="T36" i="17"/>
  <c r="Q35" i="17"/>
  <c r="Q36" i="17"/>
  <c r="P35" i="17"/>
  <c r="P36" i="17"/>
  <c r="O35" i="17"/>
  <c r="O36" i="17"/>
  <c r="N35" i="17"/>
  <c r="N36" i="17"/>
  <c r="X34" i="17"/>
  <c r="V34" i="17"/>
  <c r="U34" i="17"/>
  <c r="S34" i="17"/>
  <c r="R34" i="17"/>
  <c r="W34" i="17"/>
  <c r="T34" i="17"/>
  <c r="Q34" i="17"/>
  <c r="P34" i="17"/>
  <c r="O34" i="17"/>
  <c r="N34" i="17"/>
  <c r="X33" i="17"/>
  <c r="V33" i="17"/>
  <c r="U33" i="17"/>
  <c r="S33" i="17"/>
  <c r="R33" i="17"/>
  <c r="W33" i="17"/>
  <c r="T33" i="17"/>
  <c r="Q33" i="17"/>
  <c r="P33" i="17"/>
  <c r="O33" i="17"/>
  <c r="N33" i="17"/>
  <c r="Y30" i="17"/>
  <c r="Y29" i="17"/>
  <c r="Y28" i="17"/>
  <c r="Y22" i="17"/>
  <c r="Y21" i="17"/>
  <c r="Y19" i="17"/>
  <c r="Y18" i="17"/>
  <c r="Y17" i="17"/>
  <c r="Y15" i="17"/>
  <c r="Y13" i="17"/>
  <c r="Y12" i="17"/>
  <c r="Y11" i="17"/>
  <c r="K10" i="17"/>
  <c r="J10" i="17"/>
  <c r="Y10" i="17"/>
  <c r="Y8" i="17"/>
  <c r="AP4" i="16"/>
  <c r="AP5" i="16"/>
  <c r="AP6" i="16"/>
  <c r="AP7" i="16"/>
  <c r="AP8" i="16"/>
  <c r="AP9" i="16"/>
  <c r="AP10" i="16"/>
  <c r="AP11" i="16"/>
  <c r="AP12" i="16"/>
  <c r="AP13" i="16"/>
  <c r="AP14" i="16"/>
  <c r="AP15" i="16"/>
  <c r="AP16" i="16"/>
  <c r="AP17" i="16"/>
  <c r="AP18" i="16"/>
  <c r="AP19" i="16"/>
  <c r="AP20" i="16"/>
  <c r="AP21" i="16"/>
  <c r="AP22" i="16"/>
  <c r="AP23" i="16"/>
  <c r="AP24" i="16"/>
  <c r="AP25" i="16"/>
  <c r="AP26" i="16"/>
  <c r="AP27" i="16"/>
  <c r="AP28" i="16"/>
  <c r="AP29" i="16"/>
  <c r="AP30" i="16"/>
  <c r="AP31" i="16"/>
  <c r="AP32" i="16"/>
  <c r="AP33" i="16"/>
  <c r="AP34" i="16"/>
  <c r="AP35" i="16"/>
  <c r="AI29" i="16"/>
  <c r="AI30" i="16"/>
  <c r="AI31" i="16"/>
  <c r="AI32" i="16"/>
  <c r="AI33" i="16"/>
  <c r="AI34" i="16"/>
  <c r="AI35" i="16"/>
  <c r="AI28" i="16"/>
  <c r="AI27" i="16"/>
  <c r="AI25" i="16"/>
  <c r="AI22" i="16"/>
  <c r="AI21" i="16"/>
  <c r="AI20" i="16"/>
  <c r="J4" i="16"/>
  <c r="L4" i="16"/>
  <c r="K4" i="16"/>
  <c r="M4" i="16"/>
  <c r="AA4" i="16"/>
  <c r="J5" i="16"/>
  <c r="L5" i="16"/>
  <c r="K5" i="16"/>
  <c r="M5" i="16"/>
  <c r="AA5" i="16"/>
  <c r="J6" i="16"/>
  <c r="L6" i="16"/>
  <c r="K6" i="16"/>
  <c r="M6" i="16"/>
  <c r="J7" i="16"/>
  <c r="L7" i="16"/>
  <c r="K7" i="16"/>
  <c r="M7" i="16"/>
  <c r="AA7" i="16"/>
  <c r="J8" i="16"/>
  <c r="L8" i="16"/>
  <c r="K8" i="16"/>
  <c r="M8" i="16"/>
  <c r="J9" i="16"/>
  <c r="L9" i="16"/>
  <c r="K9" i="16"/>
  <c r="M9" i="16"/>
  <c r="AA9" i="16"/>
  <c r="J10" i="16"/>
  <c r="L10" i="16"/>
  <c r="K10" i="16"/>
  <c r="M10" i="16"/>
  <c r="J11" i="16"/>
  <c r="L11" i="16"/>
  <c r="K11" i="16"/>
  <c r="M11" i="16"/>
  <c r="J12" i="16"/>
  <c r="L12" i="16"/>
  <c r="K12" i="16"/>
  <c r="M12" i="16"/>
  <c r="J13" i="16"/>
  <c r="L13" i="16"/>
  <c r="K13" i="16"/>
  <c r="M13" i="16"/>
  <c r="J14" i="16"/>
  <c r="L14" i="16"/>
  <c r="K14" i="16"/>
  <c r="M14" i="16"/>
  <c r="J15" i="16"/>
  <c r="L15" i="16"/>
  <c r="K15" i="16"/>
  <c r="M15" i="16"/>
  <c r="AA15" i="16"/>
  <c r="J16" i="16"/>
  <c r="L16" i="16"/>
  <c r="K16" i="16"/>
  <c r="M16" i="16"/>
  <c r="AA16" i="16"/>
  <c r="J17" i="16"/>
  <c r="L17" i="16"/>
  <c r="K17" i="16"/>
  <c r="M17" i="16"/>
  <c r="J18" i="16"/>
  <c r="L18" i="16"/>
  <c r="K18" i="16"/>
  <c r="M18" i="16"/>
  <c r="J19" i="16"/>
  <c r="L19" i="16"/>
  <c r="K19" i="16"/>
  <c r="M19" i="16"/>
  <c r="AA19" i="16"/>
  <c r="J20" i="16"/>
  <c r="L20" i="16"/>
  <c r="K20" i="16"/>
  <c r="M20" i="16"/>
  <c r="J21" i="16"/>
  <c r="L21" i="16"/>
  <c r="K21" i="16"/>
  <c r="M21" i="16"/>
  <c r="J22" i="16"/>
  <c r="L22" i="16"/>
  <c r="K22" i="16"/>
  <c r="M22" i="16"/>
  <c r="AA22" i="16"/>
  <c r="J23" i="16"/>
  <c r="L23" i="16"/>
  <c r="K23" i="16"/>
  <c r="M23" i="16"/>
  <c r="J24" i="16"/>
  <c r="L24" i="16"/>
  <c r="K24" i="16"/>
  <c r="M24" i="16"/>
  <c r="J25" i="16"/>
  <c r="L25" i="16"/>
  <c r="K25" i="16"/>
  <c r="M25" i="16"/>
  <c r="AA25" i="16"/>
  <c r="J26" i="16"/>
  <c r="L26" i="16"/>
  <c r="K26" i="16"/>
  <c r="M26" i="16"/>
  <c r="AA26" i="16"/>
  <c r="J27" i="16"/>
  <c r="L27" i="16"/>
  <c r="K27" i="16"/>
  <c r="M27" i="16"/>
  <c r="AA27" i="16"/>
  <c r="J28" i="16"/>
  <c r="L28" i="16"/>
  <c r="K28" i="16"/>
  <c r="M28" i="16"/>
  <c r="J29" i="16"/>
  <c r="L29" i="16"/>
  <c r="K29" i="16"/>
  <c r="M29" i="16"/>
  <c r="J30" i="16"/>
  <c r="L30" i="16"/>
  <c r="K30" i="16"/>
  <c r="M30" i="16"/>
  <c r="J31" i="16"/>
  <c r="L31" i="16"/>
  <c r="K31" i="16"/>
  <c r="M31" i="16"/>
  <c r="AA31" i="16"/>
  <c r="J32" i="16"/>
  <c r="L32" i="16"/>
  <c r="K32" i="16"/>
  <c r="M32" i="16"/>
  <c r="J33" i="16"/>
  <c r="L33" i="16"/>
  <c r="K33" i="16"/>
  <c r="M33" i="16"/>
  <c r="J34" i="16"/>
  <c r="L34" i="16"/>
  <c r="K34" i="16"/>
  <c r="M34" i="16"/>
  <c r="J35" i="16"/>
  <c r="L35" i="16"/>
  <c r="K35" i="16"/>
  <c r="M35" i="16"/>
  <c r="K3" i="16"/>
  <c r="M3" i="16"/>
  <c r="J3" i="16"/>
  <c r="L3" i="16"/>
  <c r="AI3" i="16"/>
  <c r="AP3" i="16"/>
  <c r="AI4" i="16"/>
  <c r="AI5" i="16"/>
  <c r="AI6" i="16"/>
  <c r="AI7" i="16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3" i="16"/>
  <c r="AI24" i="16"/>
  <c r="AI26" i="16"/>
  <c r="Z39" i="16"/>
  <c r="Z40" i="16"/>
  <c r="Y39" i="16"/>
  <c r="Y40" i="16"/>
  <c r="X39" i="16"/>
  <c r="X40" i="16"/>
  <c r="W39" i="16"/>
  <c r="W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AA2" i="16"/>
  <c r="S28" i="15"/>
  <c r="S29" i="15"/>
  <c r="K7" i="15"/>
  <c r="M7" i="15"/>
  <c r="J23" i="15"/>
  <c r="L23" i="15"/>
  <c r="AP4" i="15"/>
  <c r="AP5" i="15"/>
  <c r="AP6" i="15"/>
  <c r="AP7" i="15"/>
  <c r="AP8" i="15"/>
  <c r="AP9" i="15"/>
  <c r="AP10" i="15"/>
  <c r="AP11" i="15"/>
  <c r="AP12" i="15"/>
  <c r="AP13" i="15"/>
  <c r="AP14" i="15"/>
  <c r="AP15" i="15"/>
  <c r="AP16" i="15"/>
  <c r="AP17" i="15"/>
  <c r="AP18" i="15"/>
  <c r="AP19" i="15"/>
  <c r="AP20" i="15"/>
  <c r="AP21" i="15"/>
  <c r="AP22" i="15"/>
  <c r="AP23" i="15"/>
  <c r="AP24" i="15"/>
  <c r="AP3" i="15"/>
  <c r="AI4" i="15"/>
  <c r="AI5" i="15"/>
  <c r="AI6" i="15"/>
  <c r="AI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3" i="15"/>
  <c r="J7" i="15"/>
  <c r="L7" i="15"/>
  <c r="J8" i="15"/>
  <c r="L8" i="15"/>
  <c r="K8" i="15"/>
  <c r="M8" i="15"/>
  <c r="J9" i="15"/>
  <c r="L9" i="15"/>
  <c r="K9" i="15"/>
  <c r="M9" i="15"/>
  <c r="J10" i="15"/>
  <c r="L10" i="15"/>
  <c r="K10" i="15"/>
  <c r="M10" i="15"/>
  <c r="J11" i="15"/>
  <c r="L11" i="15"/>
  <c r="K11" i="15"/>
  <c r="M11" i="15"/>
  <c r="J12" i="15"/>
  <c r="L12" i="15"/>
  <c r="K12" i="15"/>
  <c r="M12" i="15"/>
  <c r="J13" i="15"/>
  <c r="L13" i="15"/>
  <c r="K13" i="15"/>
  <c r="M13" i="15"/>
  <c r="J14" i="15"/>
  <c r="L14" i="15"/>
  <c r="K14" i="15"/>
  <c r="M14" i="15"/>
  <c r="J15" i="15"/>
  <c r="L15" i="15"/>
  <c r="K15" i="15"/>
  <c r="M15" i="15"/>
  <c r="J16" i="15"/>
  <c r="L16" i="15"/>
  <c r="K16" i="15"/>
  <c r="M16" i="15"/>
  <c r="J17" i="15"/>
  <c r="L17" i="15"/>
  <c r="K17" i="15"/>
  <c r="M17" i="15"/>
  <c r="J18" i="15"/>
  <c r="L18" i="15"/>
  <c r="K18" i="15"/>
  <c r="M18" i="15"/>
  <c r="J19" i="15"/>
  <c r="L19" i="15"/>
  <c r="K19" i="15"/>
  <c r="J20" i="15"/>
  <c r="L20" i="15"/>
  <c r="K20" i="15"/>
  <c r="M20" i="15"/>
  <c r="J21" i="15"/>
  <c r="L21" i="15"/>
  <c r="K21" i="15"/>
  <c r="M21" i="15"/>
  <c r="J22" i="15"/>
  <c r="L22" i="15"/>
  <c r="K22" i="15"/>
  <c r="M22" i="15"/>
  <c r="K23" i="15"/>
  <c r="J24" i="15"/>
  <c r="L24" i="15"/>
  <c r="K24" i="15"/>
  <c r="M23" i="15"/>
  <c r="M19" i="15"/>
  <c r="Z28" i="15"/>
  <c r="Z29" i="15"/>
  <c r="Y28" i="15"/>
  <c r="Y29" i="15"/>
  <c r="X28" i="15"/>
  <c r="X29" i="15"/>
  <c r="W28" i="15"/>
  <c r="W29" i="15"/>
  <c r="V28" i="15"/>
  <c r="V29" i="15"/>
  <c r="U28" i="15"/>
  <c r="U29" i="15"/>
  <c r="T28" i="15"/>
  <c r="T29" i="15"/>
  <c r="R28" i="15"/>
  <c r="R29" i="15"/>
  <c r="Q28" i="15"/>
  <c r="Q29" i="15"/>
  <c r="O28" i="15"/>
  <c r="O29" i="15"/>
  <c r="N28" i="15"/>
  <c r="N29" i="15"/>
  <c r="Z27" i="15"/>
  <c r="Y27" i="15"/>
  <c r="X27" i="15"/>
  <c r="W27" i="15"/>
  <c r="V27" i="15"/>
  <c r="U27" i="15"/>
  <c r="T27" i="15"/>
  <c r="S27" i="15"/>
  <c r="R27" i="15"/>
  <c r="Q27" i="15"/>
  <c r="O27" i="15"/>
  <c r="N27" i="15"/>
  <c r="Z26" i="15"/>
  <c r="Y26" i="15"/>
  <c r="X26" i="15"/>
  <c r="W26" i="15"/>
  <c r="V26" i="15"/>
  <c r="U26" i="15"/>
  <c r="T26" i="15"/>
  <c r="S26" i="15"/>
  <c r="R26" i="15"/>
  <c r="Q26" i="15"/>
  <c r="O26" i="15"/>
  <c r="N26" i="15"/>
  <c r="M24" i="15"/>
  <c r="K6" i="15"/>
  <c r="M6" i="15"/>
  <c r="J6" i="15"/>
  <c r="L6" i="15"/>
  <c r="P27" i="15"/>
  <c r="K5" i="15"/>
  <c r="M5" i="15"/>
  <c r="J5" i="15"/>
  <c r="L5" i="15"/>
  <c r="K4" i="15"/>
  <c r="M4" i="15"/>
  <c r="J4" i="15"/>
  <c r="L4" i="15"/>
  <c r="K3" i="15"/>
  <c r="M3" i="15"/>
  <c r="J3" i="15"/>
  <c r="L3" i="15"/>
  <c r="AA2" i="15"/>
  <c r="P5" i="13"/>
  <c r="P19" i="13"/>
  <c r="P20" i="13"/>
  <c r="AI3" i="13"/>
  <c r="AP4" i="13"/>
  <c r="AP5" i="13"/>
  <c r="AP6" i="13"/>
  <c r="AP7" i="13"/>
  <c r="AP8" i="13"/>
  <c r="AP9" i="13"/>
  <c r="AP10" i="13"/>
  <c r="AP11" i="13"/>
  <c r="AP12" i="13"/>
  <c r="AP13" i="13"/>
  <c r="AP14" i="13"/>
  <c r="AP15" i="13"/>
  <c r="AI4" i="13"/>
  <c r="AI5" i="13"/>
  <c r="AI6" i="13"/>
  <c r="AI7" i="13"/>
  <c r="AI8" i="13"/>
  <c r="AI9" i="13"/>
  <c r="AI10" i="13"/>
  <c r="AI11" i="13"/>
  <c r="AI12" i="13"/>
  <c r="AI13" i="13"/>
  <c r="AI14" i="13"/>
  <c r="AI15" i="13"/>
  <c r="J4" i="13"/>
  <c r="L4" i="13"/>
  <c r="K4" i="13"/>
  <c r="M4" i="13"/>
  <c r="AA4" i="13"/>
  <c r="Z19" i="13"/>
  <c r="Z20" i="13"/>
  <c r="Y19" i="13"/>
  <c r="Y20" i="13"/>
  <c r="X19" i="13"/>
  <c r="X20" i="13"/>
  <c r="W19" i="13"/>
  <c r="W20" i="13"/>
  <c r="V19" i="13"/>
  <c r="V20" i="13"/>
  <c r="U19" i="13"/>
  <c r="U20" i="13"/>
  <c r="T19" i="13"/>
  <c r="T20" i="13"/>
  <c r="S19" i="13"/>
  <c r="S20" i="13"/>
  <c r="R19" i="13"/>
  <c r="R20" i="13"/>
  <c r="Q19" i="13"/>
  <c r="Q20" i="13"/>
  <c r="O19" i="13"/>
  <c r="O20" i="13"/>
  <c r="N19" i="13"/>
  <c r="N20" i="13"/>
  <c r="Z18" i="13"/>
  <c r="Y18" i="13"/>
  <c r="X18" i="13"/>
  <c r="W18" i="13"/>
  <c r="V18" i="13"/>
  <c r="U18" i="13"/>
  <c r="T18" i="13"/>
  <c r="S18" i="13"/>
  <c r="R18" i="13"/>
  <c r="Q18" i="13"/>
  <c r="O18" i="13"/>
  <c r="N18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K15" i="13"/>
  <c r="M15" i="13"/>
  <c r="J15" i="13"/>
  <c r="L15" i="13"/>
  <c r="AA15" i="13"/>
  <c r="AB15" i="13"/>
  <c r="K14" i="13"/>
  <c r="M14" i="13"/>
  <c r="J14" i="13"/>
  <c r="L14" i="13"/>
  <c r="AA14" i="13"/>
  <c r="AB14" i="13"/>
  <c r="K13" i="13"/>
  <c r="M13" i="13"/>
  <c r="J13" i="13"/>
  <c r="L13" i="13"/>
  <c r="AA13" i="13"/>
  <c r="K12" i="13"/>
  <c r="M12" i="13"/>
  <c r="J12" i="13"/>
  <c r="L12" i="13"/>
  <c r="AA12" i="13"/>
  <c r="K11" i="13"/>
  <c r="M11" i="13"/>
  <c r="J11" i="13"/>
  <c r="L11" i="13"/>
  <c r="AA11" i="13"/>
  <c r="K10" i="13"/>
  <c r="M10" i="13"/>
  <c r="J10" i="13"/>
  <c r="L10" i="13"/>
  <c r="AA10" i="13"/>
  <c r="K9" i="13"/>
  <c r="M9" i="13"/>
  <c r="J9" i="13"/>
  <c r="L9" i="13"/>
  <c r="AA9" i="13"/>
  <c r="K8" i="13"/>
  <c r="M8" i="13"/>
  <c r="J8" i="13"/>
  <c r="L8" i="13"/>
  <c r="AA8" i="13"/>
  <c r="K7" i="13"/>
  <c r="M7" i="13"/>
  <c r="J7" i="13"/>
  <c r="L7" i="13"/>
  <c r="AA7" i="13"/>
  <c r="K6" i="13"/>
  <c r="M6" i="13"/>
  <c r="J6" i="13"/>
  <c r="L6" i="13"/>
  <c r="AA6" i="13"/>
  <c r="K5" i="13"/>
  <c r="M5" i="13"/>
  <c r="J5" i="13"/>
  <c r="L5" i="13"/>
  <c r="AP3" i="13"/>
  <c r="K3" i="13"/>
  <c r="M3" i="13"/>
  <c r="J3" i="13"/>
  <c r="L3" i="13"/>
  <c r="AA3" i="13"/>
  <c r="AA2" i="13"/>
  <c r="E15" i="11"/>
  <c r="E21" i="11"/>
  <c r="D21" i="11"/>
  <c r="E20" i="11"/>
  <c r="D20" i="11"/>
  <c r="D23" i="11"/>
  <c r="L25" i="11"/>
  <c r="L26" i="11"/>
  <c r="E23" i="11"/>
  <c r="D24" i="11"/>
  <c r="E24" i="11"/>
  <c r="E25" i="11"/>
  <c r="E26" i="11"/>
  <c r="S7" i="11"/>
  <c r="AF20" i="11"/>
  <c r="Z20" i="11"/>
  <c r="S20" i="11"/>
  <c r="AF19" i="11"/>
  <c r="Z19" i="11"/>
  <c r="S19" i="11"/>
  <c r="AF18" i="11"/>
  <c r="Z18" i="11"/>
  <c r="Z15" i="11"/>
  <c r="AF15" i="11"/>
  <c r="Z8" i="11"/>
  <c r="AF8" i="11"/>
  <c r="R25" i="11"/>
  <c r="R26" i="11"/>
  <c r="P25" i="11"/>
  <c r="P26" i="11"/>
  <c r="O25" i="11"/>
  <c r="O26" i="11"/>
  <c r="N25" i="11"/>
  <c r="N26" i="11"/>
  <c r="Q25" i="11"/>
  <c r="Q26" i="11"/>
  <c r="M25" i="11"/>
  <c r="M26" i="11"/>
  <c r="K25" i="11"/>
  <c r="K26" i="11"/>
  <c r="J25" i="11"/>
  <c r="J26" i="11"/>
  <c r="I25" i="11"/>
  <c r="I26" i="11"/>
  <c r="H25" i="11"/>
  <c r="H26" i="11"/>
  <c r="G25" i="11"/>
  <c r="G26" i="11"/>
  <c r="F25" i="11"/>
  <c r="F26" i="11"/>
  <c r="R24" i="11"/>
  <c r="P24" i="11"/>
  <c r="O24" i="11"/>
  <c r="N24" i="11"/>
  <c r="Q24" i="11"/>
  <c r="M24" i="11"/>
  <c r="L24" i="11"/>
  <c r="K24" i="11"/>
  <c r="J24" i="11"/>
  <c r="I24" i="11"/>
  <c r="H24" i="11"/>
  <c r="G24" i="11"/>
  <c r="F24" i="11"/>
  <c r="R23" i="11"/>
  <c r="P23" i="11"/>
  <c r="O23" i="11"/>
  <c r="N23" i="11"/>
  <c r="Q23" i="11"/>
  <c r="M23" i="11"/>
  <c r="L23" i="11"/>
  <c r="K23" i="11"/>
  <c r="J23" i="11"/>
  <c r="I23" i="11"/>
  <c r="H23" i="11"/>
  <c r="G23" i="11"/>
  <c r="F23" i="11"/>
  <c r="AF21" i="11"/>
  <c r="Z21" i="11"/>
  <c r="AF17" i="11"/>
  <c r="Z17" i="11"/>
  <c r="AF16" i="11"/>
  <c r="Z16" i="11"/>
  <c r="AF14" i="11"/>
  <c r="Z14" i="11"/>
  <c r="AF13" i="11"/>
  <c r="Z13" i="11"/>
  <c r="AF12" i="11"/>
  <c r="Z12" i="11"/>
  <c r="AF11" i="11"/>
  <c r="Z11" i="11"/>
  <c r="AF10" i="11"/>
  <c r="Z10" i="11"/>
  <c r="AF9" i="11"/>
  <c r="Z9" i="11"/>
  <c r="AF5" i="11"/>
  <c r="Z5" i="11"/>
  <c r="AF4" i="11"/>
  <c r="Z4" i="11"/>
  <c r="AF3" i="11"/>
  <c r="Z3" i="11"/>
  <c r="S2" i="11"/>
  <c r="AA2" i="10"/>
  <c r="AN17" i="10"/>
  <c r="AH17" i="10"/>
  <c r="K17" i="10"/>
  <c r="M17" i="10"/>
  <c r="J17" i="10"/>
  <c r="L17" i="10"/>
  <c r="AA17" i="10"/>
  <c r="AN16" i="10"/>
  <c r="AH16" i="10"/>
  <c r="K16" i="10"/>
  <c r="M16" i="10"/>
  <c r="J16" i="10"/>
  <c r="L16" i="10"/>
  <c r="AA16" i="10"/>
  <c r="AN10" i="10"/>
  <c r="AH10" i="10"/>
  <c r="K10" i="10"/>
  <c r="M10" i="10"/>
  <c r="J10" i="10"/>
  <c r="L10" i="10"/>
  <c r="AN11" i="10"/>
  <c r="AH11" i="10"/>
  <c r="K11" i="10"/>
  <c r="M11" i="10"/>
  <c r="J11" i="10"/>
  <c r="L11" i="10"/>
  <c r="AN4" i="10"/>
  <c r="AH4" i="10"/>
  <c r="K4" i="10"/>
  <c r="M4" i="10"/>
  <c r="J4" i="10"/>
  <c r="L4" i="10"/>
  <c r="Z22" i="10"/>
  <c r="Z23" i="10"/>
  <c r="Y22" i="10"/>
  <c r="Y23" i="10"/>
  <c r="X22" i="10"/>
  <c r="X23" i="10"/>
  <c r="W22" i="10"/>
  <c r="W23" i="10"/>
  <c r="V22" i="10"/>
  <c r="V23" i="10"/>
  <c r="U22" i="10"/>
  <c r="U23" i="10"/>
  <c r="T22" i="10"/>
  <c r="T23" i="10"/>
  <c r="S22" i="10"/>
  <c r="S23" i="10"/>
  <c r="R22" i="10"/>
  <c r="R23" i="10"/>
  <c r="Q22" i="10"/>
  <c r="Q23" i="10"/>
  <c r="O22" i="10"/>
  <c r="O23" i="10"/>
  <c r="N22" i="10"/>
  <c r="N23" i="10"/>
  <c r="Z21" i="10"/>
  <c r="Y21" i="10"/>
  <c r="X21" i="10"/>
  <c r="W21" i="10"/>
  <c r="V21" i="10"/>
  <c r="U21" i="10"/>
  <c r="T21" i="10"/>
  <c r="S21" i="10"/>
  <c r="R21" i="10"/>
  <c r="Q21" i="10"/>
  <c r="O21" i="10"/>
  <c r="N21" i="10"/>
  <c r="Z20" i="10"/>
  <c r="Y20" i="10"/>
  <c r="X20" i="10"/>
  <c r="W20" i="10"/>
  <c r="V20" i="10"/>
  <c r="U20" i="10"/>
  <c r="T20" i="10"/>
  <c r="S20" i="10"/>
  <c r="R20" i="10"/>
  <c r="Q20" i="10"/>
  <c r="O20" i="10"/>
  <c r="N20" i="10"/>
  <c r="AN18" i="10"/>
  <c r="AH18" i="10"/>
  <c r="K18" i="10"/>
  <c r="M18" i="10"/>
  <c r="J18" i="10"/>
  <c r="L18" i="10"/>
  <c r="AN15" i="10"/>
  <c r="AH15" i="10"/>
  <c r="K15" i="10"/>
  <c r="M15" i="10"/>
  <c r="J15" i="10"/>
  <c r="L15" i="10"/>
  <c r="AN14" i="10"/>
  <c r="AH14" i="10"/>
  <c r="K14" i="10"/>
  <c r="M14" i="10"/>
  <c r="J14" i="10"/>
  <c r="L14" i="10"/>
  <c r="AN13" i="10"/>
  <c r="AH13" i="10"/>
  <c r="K13" i="10"/>
  <c r="M13" i="10"/>
  <c r="J13" i="10"/>
  <c r="L13" i="10"/>
  <c r="AN12" i="10"/>
  <c r="AH12" i="10"/>
  <c r="K12" i="10"/>
  <c r="M12" i="10"/>
  <c r="J12" i="10"/>
  <c r="L12" i="10"/>
  <c r="AN9" i="10"/>
  <c r="AH9" i="10"/>
  <c r="K9" i="10"/>
  <c r="M9" i="10"/>
  <c r="J9" i="10"/>
  <c r="L9" i="10"/>
  <c r="AN8" i="10"/>
  <c r="AH8" i="10"/>
  <c r="K8" i="10"/>
  <c r="M8" i="10"/>
  <c r="J8" i="10"/>
  <c r="L8" i="10"/>
  <c r="AN7" i="10"/>
  <c r="AH7" i="10"/>
  <c r="K7" i="10"/>
  <c r="M7" i="10"/>
  <c r="J7" i="10"/>
  <c r="L7" i="10"/>
  <c r="AN6" i="10"/>
  <c r="AH6" i="10"/>
  <c r="K6" i="10"/>
  <c r="M6" i="10"/>
  <c r="J6" i="10"/>
  <c r="L6" i="10"/>
  <c r="AN5" i="10"/>
  <c r="AH5" i="10"/>
  <c r="K5" i="10"/>
  <c r="M5" i="10"/>
  <c r="J5" i="10"/>
  <c r="L5" i="10"/>
  <c r="AN3" i="10"/>
  <c r="AH3" i="10"/>
  <c r="K3" i="10"/>
  <c r="M3" i="10"/>
  <c r="J3" i="10"/>
  <c r="L3" i="10"/>
  <c r="J5" i="6"/>
  <c r="K5" i="6"/>
  <c r="J20" i="6"/>
  <c r="K20" i="6"/>
  <c r="J18" i="6"/>
  <c r="K18" i="6"/>
  <c r="J21" i="6"/>
  <c r="K21" i="6"/>
  <c r="J19" i="6"/>
  <c r="K19" i="6"/>
  <c r="J13" i="6"/>
  <c r="K13" i="6"/>
  <c r="J17" i="6"/>
  <c r="K17" i="6"/>
  <c r="J12" i="6"/>
  <c r="K12" i="6"/>
  <c r="J14" i="6"/>
  <c r="K14" i="6"/>
  <c r="J15" i="6"/>
  <c r="K15" i="6"/>
  <c r="J16" i="6"/>
  <c r="K16" i="6"/>
  <c r="J7" i="6"/>
  <c r="K7" i="6"/>
  <c r="J11" i="6"/>
  <c r="K11" i="6"/>
  <c r="J4" i="6"/>
  <c r="K4" i="6"/>
  <c r="J9" i="6"/>
  <c r="K9" i="6"/>
  <c r="J10" i="6"/>
  <c r="K10" i="6"/>
  <c r="J6" i="6"/>
  <c r="K6" i="6"/>
  <c r="J3" i="6"/>
  <c r="K3" i="6"/>
  <c r="J8" i="6"/>
  <c r="K8" i="6"/>
  <c r="J22" i="6"/>
  <c r="K22" i="6"/>
  <c r="Z2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J39" i="6"/>
  <c r="K39" i="6"/>
  <c r="L39" i="6"/>
  <c r="Z39" i="6"/>
  <c r="AA39" i="6"/>
  <c r="J36" i="6"/>
  <c r="J37" i="6"/>
  <c r="J38" i="6"/>
  <c r="J40" i="6"/>
  <c r="J41" i="6"/>
  <c r="J42" i="6"/>
  <c r="J43" i="6"/>
  <c r="J44" i="6"/>
  <c r="J45" i="6"/>
  <c r="J46" i="6"/>
  <c r="M39" i="6"/>
  <c r="N39" i="6"/>
  <c r="S39" i="6"/>
  <c r="Y39" i="6"/>
  <c r="K36" i="6"/>
  <c r="L36" i="6"/>
  <c r="Z36" i="6"/>
  <c r="AA36" i="6"/>
  <c r="M36" i="6"/>
  <c r="N36" i="6"/>
  <c r="S36" i="6"/>
  <c r="K37" i="6"/>
  <c r="L37" i="6"/>
  <c r="Z37" i="6"/>
  <c r="AA37" i="6"/>
  <c r="M37" i="6"/>
  <c r="N37" i="6"/>
  <c r="S37" i="6"/>
  <c r="K38" i="6"/>
  <c r="L38" i="6"/>
  <c r="Z38" i="6"/>
  <c r="AA38" i="6"/>
  <c r="M38" i="6"/>
  <c r="N38" i="6"/>
  <c r="S38" i="6"/>
  <c r="J47" i="6"/>
  <c r="J48" i="6"/>
  <c r="K48" i="6"/>
  <c r="L48" i="6"/>
  <c r="Z48" i="6"/>
  <c r="AA48" i="6"/>
  <c r="J49" i="6"/>
  <c r="J50" i="6"/>
  <c r="K50" i="6"/>
  <c r="L50" i="6"/>
  <c r="Z50" i="6"/>
  <c r="AA50" i="6"/>
  <c r="K49" i="6"/>
  <c r="L49" i="6"/>
  <c r="Z49" i="6"/>
  <c r="AA49" i="6"/>
  <c r="K46" i="6"/>
  <c r="L46" i="6"/>
  <c r="Z46" i="6"/>
  <c r="AA46" i="6"/>
  <c r="K45" i="6"/>
  <c r="L45" i="6"/>
  <c r="Z45" i="6"/>
  <c r="AA45" i="6"/>
  <c r="K44" i="6"/>
  <c r="K43" i="6"/>
  <c r="L43" i="6"/>
  <c r="Z43" i="6"/>
  <c r="AA43" i="6"/>
  <c r="K42" i="6"/>
  <c r="L42" i="6"/>
  <c r="Z42" i="6"/>
  <c r="AA42" i="6"/>
  <c r="K41" i="6"/>
  <c r="L41" i="6"/>
  <c r="Z41" i="6"/>
  <c r="AA41" i="6"/>
  <c r="K40" i="6"/>
  <c r="L40" i="6"/>
  <c r="Z40" i="6"/>
  <c r="AA40" i="6"/>
  <c r="S50" i="6"/>
  <c r="S48" i="6"/>
  <c r="S47" i="6"/>
  <c r="S46" i="6"/>
  <c r="S45" i="6"/>
  <c r="S44" i="6"/>
  <c r="S43" i="6"/>
  <c r="S42" i="6"/>
  <c r="S41" i="6"/>
  <c r="S40" i="6"/>
  <c r="N49" i="6"/>
  <c r="N50" i="6"/>
  <c r="N48" i="6"/>
  <c r="N47" i="6"/>
  <c r="N46" i="6"/>
  <c r="N45" i="6"/>
  <c r="N44" i="6"/>
  <c r="N43" i="6"/>
  <c r="N42" i="6"/>
  <c r="N40" i="6"/>
  <c r="Y46" i="6"/>
  <c r="Y44" i="6"/>
  <c r="Y49" i="6"/>
  <c r="Y48" i="6"/>
  <c r="M46" i="6"/>
  <c r="M40" i="6"/>
  <c r="M41" i="6"/>
  <c r="N41" i="6"/>
  <c r="M42" i="6"/>
  <c r="M43" i="6"/>
  <c r="M44" i="6"/>
  <c r="L44" i="6"/>
  <c r="Z44" i="6"/>
  <c r="AA44" i="6"/>
  <c r="M45" i="6"/>
  <c r="K47" i="6"/>
  <c r="L47" i="6"/>
  <c r="Z47" i="6"/>
  <c r="AA47" i="6"/>
  <c r="Z69" i="6"/>
  <c r="Z68" i="6"/>
  <c r="Z67" i="6"/>
  <c r="Z66" i="6"/>
  <c r="Z65" i="6"/>
  <c r="Z64" i="6"/>
  <c r="Z63" i="6"/>
  <c r="Z62" i="6"/>
  <c r="J57" i="6"/>
  <c r="M50" i="6"/>
  <c r="M49" i="6"/>
  <c r="M48" i="6"/>
  <c r="M47" i="6"/>
  <c r="Z61" i="6"/>
  <c r="Z60" i="6"/>
  <c r="Z59" i="6"/>
  <c r="Z58" i="6"/>
  <c r="Z57" i="6"/>
  <c r="Z56" i="6"/>
  <c r="Z55" i="6"/>
  <c r="J51" i="6"/>
  <c r="J53" i="6"/>
  <c r="J54" i="6"/>
  <c r="J52" i="6"/>
  <c r="L52" i="6"/>
  <c r="M52" i="6"/>
  <c r="Z52" i="6"/>
  <c r="AA52" i="6"/>
  <c r="L54" i="6"/>
  <c r="M54" i="6"/>
  <c r="Z54" i="6"/>
  <c r="AA54" i="6"/>
  <c r="L53" i="6"/>
  <c r="M53" i="6"/>
  <c r="Z53" i="6"/>
  <c r="AA53" i="6"/>
  <c r="L51" i="6"/>
  <c r="M51" i="6"/>
  <c r="Z51" i="6"/>
  <c r="AA51" i="6"/>
  <c r="J69" i="6"/>
  <c r="J68" i="6"/>
  <c r="J67" i="6"/>
  <c r="J66" i="6"/>
  <c r="J65" i="6"/>
  <c r="J64" i="6"/>
  <c r="J63" i="6"/>
  <c r="J62" i="6"/>
  <c r="J61" i="6"/>
  <c r="J60" i="6"/>
  <c r="J59" i="6"/>
  <c r="J58" i="6"/>
  <c r="J56" i="6"/>
  <c r="J55" i="6"/>
  <c r="L20" i="6"/>
  <c r="Z20" i="6"/>
  <c r="L18" i="6"/>
  <c r="Z18" i="6"/>
  <c r="L21" i="6"/>
  <c r="Z21" i="6"/>
  <c r="L19" i="6"/>
  <c r="Z19" i="6"/>
  <c r="AA21" i="6"/>
  <c r="L16" i="6"/>
  <c r="Z16" i="6"/>
  <c r="L13" i="6"/>
  <c r="Z13" i="6"/>
  <c r="L17" i="6"/>
  <c r="Z17" i="6"/>
  <c r="L12" i="6"/>
  <c r="Z12" i="6"/>
  <c r="L14" i="6"/>
  <c r="Z14" i="6"/>
  <c r="L15" i="6"/>
  <c r="Z15" i="6"/>
  <c r="AA17" i="6"/>
  <c r="L8" i="6"/>
  <c r="Z8" i="6"/>
  <c r="L5" i="6"/>
  <c r="Z5" i="6"/>
  <c r="L4" i="6"/>
  <c r="Z4" i="6"/>
  <c r="L9" i="6"/>
  <c r="Z9" i="6"/>
  <c r="L10" i="6"/>
  <c r="Z10" i="6"/>
  <c r="L6" i="6"/>
  <c r="Z6" i="6"/>
  <c r="L3" i="6"/>
  <c r="Z3" i="6"/>
  <c r="L7" i="6"/>
  <c r="Z7" i="6"/>
  <c r="L11" i="6"/>
  <c r="Z11" i="6"/>
  <c r="AA6" i="6"/>
  <c r="L22" i="6"/>
  <c r="Z22" i="6"/>
  <c r="AA22" i="6"/>
  <c r="K22" i="7"/>
  <c r="M22" i="7"/>
  <c r="K21" i="7"/>
  <c r="M21" i="7"/>
  <c r="K20" i="7"/>
  <c r="M20" i="7"/>
  <c r="K19" i="7"/>
  <c r="M19" i="7"/>
  <c r="K18" i="7"/>
  <c r="M18" i="7"/>
  <c r="K17" i="7"/>
  <c r="M17" i="7"/>
  <c r="K16" i="7"/>
  <c r="M16" i="7"/>
  <c r="K15" i="7"/>
  <c r="M15" i="7"/>
  <c r="K14" i="7"/>
  <c r="M14" i="7"/>
  <c r="K13" i="7"/>
  <c r="M13" i="7"/>
  <c r="K12" i="7"/>
  <c r="M12" i="7"/>
  <c r="K11" i="7"/>
  <c r="M11" i="7"/>
  <c r="K10" i="7"/>
  <c r="M10" i="7"/>
  <c r="K9" i="7"/>
  <c r="M9" i="7"/>
  <c r="K8" i="7"/>
  <c r="M8" i="7"/>
  <c r="K7" i="7"/>
  <c r="M7" i="7"/>
  <c r="K6" i="7"/>
  <c r="M6" i="7"/>
  <c r="K5" i="7"/>
  <c r="M5" i="7"/>
  <c r="K4" i="7"/>
  <c r="M4" i="7"/>
  <c r="K3" i="7"/>
  <c r="M3" i="7"/>
  <c r="J3" i="7"/>
  <c r="L3" i="7"/>
  <c r="AA3" i="7"/>
  <c r="AA2" i="7"/>
  <c r="J4" i="7"/>
  <c r="L4" i="7"/>
  <c r="AA4" i="7"/>
  <c r="J5" i="7"/>
  <c r="L5" i="7"/>
  <c r="AA5" i="7"/>
  <c r="J6" i="7"/>
  <c r="L6" i="7"/>
  <c r="AA6" i="7"/>
  <c r="J7" i="7"/>
  <c r="L7" i="7"/>
  <c r="AA7" i="7"/>
  <c r="J8" i="7"/>
  <c r="L8" i="7"/>
  <c r="AA8" i="7"/>
  <c r="J9" i="7"/>
  <c r="L9" i="7"/>
  <c r="AA9" i="7"/>
  <c r="J10" i="7"/>
  <c r="L10" i="7"/>
  <c r="AA10" i="7"/>
  <c r="J11" i="7"/>
  <c r="L11" i="7"/>
  <c r="AA11" i="7"/>
  <c r="AB7" i="7"/>
  <c r="J12" i="7"/>
  <c r="L12" i="7"/>
  <c r="AA12" i="7"/>
  <c r="J13" i="7"/>
  <c r="L13" i="7"/>
  <c r="AA13" i="7"/>
  <c r="J14" i="7"/>
  <c r="L14" i="7"/>
  <c r="AA14" i="7"/>
  <c r="J15" i="7"/>
  <c r="L15" i="7"/>
  <c r="AA15" i="7"/>
  <c r="J16" i="7"/>
  <c r="L16" i="7"/>
  <c r="AA16" i="7"/>
  <c r="J17" i="7"/>
  <c r="L17" i="7"/>
  <c r="AA17" i="7"/>
  <c r="AB15" i="7"/>
  <c r="J18" i="7"/>
  <c r="L18" i="7"/>
  <c r="AA18" i="7"/>
  <c r="J19" i="7"/>
  <c r="L19" i="7"/>
  <c r="AA19" i="7"/>
  <c r="J20" i="7"/>
  <c r="L20" i="7"/>
  <c r="AA20" i="7"/>
  <c r="J21" i="7"/>
  <c r="L21" i="7"/>
  <c r="AA21" i="7"/>
  <c r="AB18" i="7"/>
  <c r="J22" i="7"/>
  <c r="L22" i="7"/>
  <c r="AA22" i="7"/>
  <c r="AB22" i="7"/>
  <c r="J14" i="8"/>
  <c r="L14" i="8"/>
  <c r="K14" i="8"/>
  <c r="M14" i="8"/>
  <c r="J13" i="8"/>
  <c r="L13" i="8"/>
  <c r="K13" i="8"/>
  <c r="M13" i="8"/>
  <c r="AA13" i="8"/>
  <c r="J12" i="8"/>
  <c r="L12" i="8"/>
  <c r="K12" i="8"/>
  <c r="M12" i="8"/>
  <c r="J6" i="8"/>
  <c r="L6" i="8"/>
  <c r="K6" i="8"/>
  <c r="M6" i="8"/>
  <c r="AA6" i="8"/>
  <c r="J7" i="8"/>
  <c r="L7" i="8"/>
  <c r="K7" i="8"/>
  <c r="M7" i="8"/>
  <c r="J8" i="8"/>
  <c r="L8" i="8"/>
  <c r="K8" i="8"/>
  <c r="M8" i="8"/>
  <c r="P8" i="8"/>
  <c r="AA8" i="8"/>
  <c r="P4" i="8"/>
  <c r="P17" i="8"/>
  <c r="J9" i="8"/>
  <c r="L9" i="8"/>
  <c r="K9" i="8"/>
  <c r="M9" i="8"/>
  <c r="AA9" i="8"/>
  <c r="J10" i="8"/>
  <c r="L10" i="8"/>
  <c r="K10" i="8"/>
  <c r="M10" i="8"/>
  <c r="J11" i="8"/>
  <c r="L11" i="8"/>
  <c r="K11" i="8"/>
  <c r="M11" i="8"/>
  <c r="AA11" i="8"/>
  <c r="J5" i="8"/>
  <c r="L5" i="8"/>
  <c r="K5" i="8"/>
  <c r="M5" i="8"/>
  <c r="AA5" i="8"/>
  <c r="J3" i="8"/>
  <c r="L3" i="8"/>
  <c r="K3" i="8"/>
  <c r="M3" i="8"/>
  <c r="AA3" i="8"/>
  <c r="J4" i="8"/>
  <c r="L4" i="8"/>
  <c r="K4" i="8"/>
  <c r="M4" i="8"/>
  <c r="AA4" i="8"/>
  <c r="O19" i="8"/>
  <c r="O20" i="8"/>
  <c r="P19" i="8"/>
  <c r="P20" i="8"/>
  <c r="Q19" i="8"/>
  <c r="Q20" i="8"/>
  <c r="R19" i="8"/>
  <c r="R20" i="8"/>
  <c r="S19" i="8"/>
  <c r="S20" i="8"/>
  <c r="T19" i="8"/>
  <c r="T20" i="8"/>
  <c r="U19" i="8"/>
  <c r="U20" i="8"/>
  <c r="V19" i="8"/>
  <c r="V20" i="8"/>
  <c r="W19" i="8"/>
  <c r="W20" i="8"/>
  <c r="X19" i="8"/>
  <c r="X20" i="8"/>
  <c r="Y19" i="8"/>
  <c r="Y20" i="8"/>
  <c r="Z19" i="8"/>
  <c r="Z20" i="8"/>
  <c r="J15" i="8"/>
  <c r="L15" i="8"/>
  <c r="K15" i="8"/>
  <c r="M15" i="8"/>
  <c r="AA15" i="8"/>
  <c r="AB15" i="8"/>
  <c r="AA2" i="8"/>
  <c r="N19" i="8"/>
  <c r="N20" i="8"/>
  <c r="AN15" i="8"/>
  <c r="AN14" i="8"/>
  <c r="AN13" i="8"/>
  <c r="AN12" i="8"/>
  <c r="AN11" i="8"/>
  <c r="AN10" i="8"/>
  <c r="AN9" i="8"/>
  <c r="AN8" i="8"/>
  <c r="AN7" i="8"/>
  <c r="AN6" i="8"/>
  <c r="AN5" i="8"/>
  <c r="AN4" i="8"/>
  <c r="AN3" i="8"/>
  <c r="AH15" i="8"/>
  <c r="AH14" i="8"/>
  <c r="AH13" i="8"/>
  <c r="AH12" i="8"/>
  <c r="AH11" i="8"/>
  <c r="AH10" i="8"/>
  <c r="AH9" i="8"/>
  <c r="AH8" i="8"/>
  <c r="AH7" i="8"/>
  <c r="AH6" i="8"/>
  <c r="AH5" i="8"/>
  <c r="AH4" i="8"/>
  <c r="AH3" i="8"/>
  <c r="Z18" i="8"/>
  <c r="Y18" i="8"/>
  <c r="X18" i="8"/>
  <c r="W18" i="8"/>
  <c r="V18" i="8"/>
  <c r="U18" i="8"/>
  <c r="T18" i="8"/>
  <c r="S18" i="8"/>
  <c r="R18" i="8"/>
  <c r="Q18" i="8"/>
  <c r="P18" i="8"/>
  <c r="O18" i="8"/>
  <c r="Z17" i="8"/>
  <c r="Y17" i="8"/>
  <c r="X17" i="8"/>
  <c r="W17" i="8"/>
  <c r="V17" i="8"/>
  <c r="U17" i="8"/>
  <c r="T17" i="8"/>
  <c r="S17" i="8"/>
  <c r="R17" i="8"/>
  <c r="Q17" i="8"/>
  <c r="O17" i="8"/>
  <c r="N18" i="8"/>
  <c r="N17" i="8"/>
  <c r="P21" i="10"/>
  <c r="P20" i="10"/>
  <c r="P22" i="10"/>
  <c r="P23" i="10"/>
  <c r="AB4" i="7"/>
  <c r="AB3" i="8"/>
  <c r="AA15" i="6"/>
  <c r="AA12" i="6"/>
  <c r="AA14" i="6"/>
  <c r="AA16" i="6"/>
  <c r="AB5" i="8"/>
  <c r="AA12" i="8"/>
  <c r="AB21" i="7"/>
  <c r="AB16" i="7"/>
  <c r="AB13" i="7"/>
  <c r="AB10" i="7"/>
  <c r="AB5" i="7"/>
  <c r="AB3" i="7"/>
  <c r="AA9" i="6"/>
  <c r="AA8" i="6"/>
  <c r="AA13" i="6"/>
  <c r="AA19" i="6"/>
  <c r="AA10" i="8"/>
  <c r="AB19" i="7"/>
  <c r="AB14" i="7"/>
  <c r="AB11" i="7"/>
  <c r="AB8" i="7"/>
  <c r="AA5" i="6"/>
  <c r="AA20" i="6"/>
  <c r="AA10" i="6"/>
  <c r="AA7" i="6"/>
  <c r="AA4" i="6"/>
  <c r="AA3" i="6"/>
  <c r="AA11" i="6"/>
  <c r="AB4" i="8"/>
  <c r="AA7" i="8"/>
  <c r="AB7" i="8"/>
  <c r="AA14" i="8"/>
  <c r="AB14" i="8"/>
  <c r="AB20" i="7"/>
  <c r="AB17" i="7"/>
  <c r="AB12" i="7"/>
  <c r="AB9" i="7"/>
  <c r="AB6" i="7"/>
  <c r="AA18" i="6"/>
  <c r="AB8" i="8"/>
  <c r="AB12" i="8"/>
  <c r="AA18" i="8"/>
  <c r="AB6" i="8"/>
  <c r="AB13" i="8"/>
  <c r="AB9" i="8"/>
  <c r="AA19" i="8"/>
  <c r="AA20" i="8"/>
  <c r="AB10" i="8"/>
  <c r="AB11" i="8"/>
  <c r="AA17" i="8"/>
  <c r="AA11" i="10"/>
  <c r="AA10" i="10"/>
  <c r="AA8" i="10"/>
  <c r="AA5" i="10"/>
  <c r="AA14" i="10"/>
  <c r="AA6" i="10"/>
  <c r="AA12" i="10"/>
  <c r="AA18" i="10"/>
  <c r="AB16" i="10"/>
  <c r="AA9" i="10"/>
  <c r="AA15" i="10"/>
  <c r="AA4" i="10"/>
  <c r="AA3" i="10"/>
  <c r="AA13" i="10"/>
  <c r="AA7" i="10"/>
  <c r="AB8" i="10"/>
  <c r="AB14" i="10"/>
  <c r="AB10" i="10"/>
  <c r="AB17" i="10"/>
  <c r="AB3" i="10"/>
  <c r="AB6" i="10"/>
  <c r="AB5" i="10"/>
  <c r="AB4" i="10"/>
  <c r="AB12" i="10"/>
  <c r="AA22" i="10"/>
  <c r="AA23" i="10"/>
  <c r="AB9" i="10"/>
  <c r="AA20" i="10"/>
  <c r="AB11" i="10"/>
  <c r="AB13" i="10"/>
  <c r="AA21" i="10"/>
  <c r="AB7" i="10"/>
  <c r="AB15" i="10"/>
  <c r="S6" i="11"/>
  <c r="S18" i="11"/>
  <c r="S15" i="11"/>
  <c r="S11" i="11"/>
  <c r="S10" i="11"/>
  <c r="S9" i="11"/>
  <c r="S12" i="11"/>
  <c r="S13" i="11"/>
  <c r="S14" i="11"/>
  <c r="T10" i="11"/>
  <c r="S8" i="11"/>
  <c r="S4" i="11"/>
  <c r="S16" i="11"/>
  <c r="S17" i="11"/>
  <c r="S5" i="11"/>
  <c r="S21" i="11"/>
  <c r="S3" i="11"/>
  <c r="D25" i="11"/>
  <c r="D26" i="11"/>
  <c r="T9" i="11"/>
  <c r="T15" i="11"/>
  <c r="T7" i="11"/>
  <c r="T5" i="11"/>
  <c r="T8" i="11"/>
  <c r="T6" i="11"/>
  <c r="T4" i="11"/>
  <c r="T3" i="11"/>
  <c r="T17" i="11"/>
  <c r="T18" i="11"/>
  <c r="T16" i="11"/>
  <c r="T19" i="11"/>
  <c r="T21" i="11"/>
  <c r="T20" i="11"/>
  <c r="S24" i="11"/>
  <c r="T11" i="11"/>
  <c r="S25" i="11"/>
  <c r="S26" i="11"/>
  <c r="T14" i="11"/>
  <c r="T13" i="11"/>
  <c r="T12" i="11"/>
  <c r="S23" i="11"/>
  <c r="AA5" i="13"/>
  <c r="AA19" i="13"/>
  <c r="AA20" i="13"/>
  <c r="P18" i="13"/>
  <c r="AB11" i="13"/>
  <c r="AB4" i="13"/>
  <c r="AB9" i="13"/>
  <c r="AB10" i="13"/>
  <c r="AB8" i="13"/>
  <c r="AB13" i="13"/>
  <c r="AA17" i="13"/>
  <c r="AB12" i="13"/>
  <c r="AB5" i="13"/>
  <c r="AA18" i="13"/>
  <c r="AB6" i="13"/>
  <c r="AB3" i="13"/>
  <c r="AB7" i="13"/>
  <c r="P28" i="15"/>
  <c r="P29" i="15"/>
  <c r="P26" i="15"/>
  <c r="AA24" i="15"/>
  <c r="AB24" i="15"/>
  <c r="AA4" i="15"/>
  <c r="AA3" i="15"/>
  <c r="AA14" i="15"/>
  <c r="AA5" i="15"/>
  <c r="AA12" i="15"/>
  <c r="AA20" i="15"/>
  <c r="AA18" i="15"/>
  <c r="AA23" i="15"/>
  <c r="AA17" i="15"/>
  <c r="AA10" i="15"/>
  <c r="AA8" i="15"/>
  <c r="AA7" i="15"/>
  <c r="AA16" i="15"/>
  <c r="AA22" i="15"/>
  <c r="AA11" i="15"/>
  <c r="AA19" i="15"/>
  <c r="AA6" i="15"/>
  <c r="AA9" i="15"/>
  <c r="AA15" i="15"/>
  <c r="AA13" i="15"/>
  <c r="AA21" i="15"/>
  <c r="AB23" i="15"/>
  <c r="AB4" i="15"/>
  <c r="AB10" i="15"/>
  <c r="AB16" i="15"/>
  <c r="AB5" i="15"/>
  <c r="AB17" i="15"/>
  <c r="AB14" i="15"/>
  <c r="AB15" i="15"/>
  <c r="AB3" i="15"/>
  <c r="AB9" i="15"/>
  <c r="AB11" i="15"/>
  <c r="AA27" i="15"/>
  <c r="AA26" i="15"/>
  <c r="AB8" i="15"/>
  <c r="AB22" i="15"/>
  <c r="AB7" i="15"/>
  <c r="AB6" i="15"/>
  <c r="AB20" i="15"/>
  <c r="AB21" i="15"/>
  <c r="AB18" i="15"/>
  <c r="AB19" i="15"/>
  <c r="AA28" i="15"/>
  <c r="AA29" i="15"/>
  <c r="AB12" i="15"/>
  <c r="AB13" i="15"/>
  <c r="AA34" i="16"/>
  <c r="AA30" i="16"/>
  <c r="AA12" i="16"/>
  <c r="AA35" i="16"/>
  <c r="AA33" i="16"/>
  <c r="AA32" i="16"/>
  <c r="AA29" i="16"/>
  <c r="AA28" i="16"/>
  <c r="AB27" i="16"/>
  <c r="AA24" i="16"/>
  <c r="AA23" i="16"/>
  <c r="AA21" i="16"/>
  <c r="AA20" i="16"/>
  <c r="AA18" i="16"/>
  <c r="AA17" i="16"/>
  <c r="AA14" i="16"/>
  <c r="AA13" i="16"/>
  <c r="AA11" i="16"/>
  <c r="AA10" i="16"/>
  <c r="AA8" i="16"/>
  <c r="AA6" i="16"/>
  <c r="AA3" i="16"/>
  <c r="AB5" i="16"/>
  <c r="AB34" i="16"/>
  <c r="AB30" i="16"/>
  <c r="AB31" i="16"/>
  <c r="AB33" i="16"/>
  <c r="AB35" i="16"/>
  <c r="AB29" i="16"/>
  <c r="AB32" i="16"/>
  <c r="AB28" i="16"/>
  <c r="AB26" i="16"/>
  <c r="AB20" i="16"/>
  <c r="AB14" i="16"/>
  <c r="AB13" i="16"/>
  <c r="AB24" i="16"/>
  <c r="AB21" i="16"/>
  <c r="AB16" i="16"/>
  <c r="AB12" i="16"/>
  <c r="AB18" i="16"/>
  <c r="AB22" i="16"/>
  <c r="AB15" i="16"/>
  <c r="AB17" i="16"/>
  <c r="AB11" i="16"/>
  <c r="AB19" i="16"/>
  <c r="AB23" i="16"/>
  <c r="AB25" i="16"/>
  <c r="AA37" i="16"/>
  <c r="AA38" i="16"/>
  <c r="AB8" i="16"/>
  <c r="AB6" i="16"/>
  <c r="AB3" i="16"/>
  <c r="AB4" i="16"/>
  <c r="AB7" i="16"/>
  <c r="AB10" i="16"/>
  <c r="AA39" i="16"/>
  <c r="AA40" i="16"/>
  <c r="AB9" i="16"/>
  <c r="Y23" i="17"/>
  <c r="Y27" i="17"/>
  <c r="Y25" i="17"/>
  <c r="Y20" i="17"/>
  <c r="Y26" i="17"/>
  <c r="Y6" i="17"/>
  <c r="Y3" i="17"/>
  <c r="Y5" i="17"/>
  <c r="Y7" i="17"/>
  <c r="Z6" i="17"/>
  <c r="Y14" i="17"/>
  <c r="Y16" i="17"/>
  <c r="Z20" i="17"/>
  <c r="Z4" i="17"/>
  <c r="Y24" i="17"/>
  <c r="Z29" i="17"/>
  <c r="Z28" i="17"/>
  <c r="Z23" i="17"/>
  <c r="Z22" i="17"/>
  <c r="Z30" i="17"/>
  <c r="Z27" i="17"/>
  <c r="Z26" i="17"/>
  <c r="Z24" i="17"/>
  <c r="Z9" i="17"/>
  <c r="Z13" i="17"/>
  <c r="Z19" i="17"/>
  <c r="Z12" i="17"/>
  <c r="Z17" i="17"/>
  <c r="Z10" i="17"/>
  <c r="Z14" i="17"/>
  <c r="Z5" i="17"/>
  <c r="Z15" i="17"/>
  <c r="Z7" i="17"/>
  <c r="Z21" i="17"/>
  <c r="Z25" i="17"/>
  <c r="Y34" i="17"/>
  <c r="Y33" i="17"/>
  <c r="Z8" i="17"/>
  <c r="Z16" i="17"/>
  <c r="Z18" i="17"/>
  <c r="Z11" i="17"/>
  <c r="Y35" i="17"/>
  <c r="Y36" i="17"/>
  <c r="Z3" i="17"/>
</calcChain>
</file>

<file path=xl/comments1.xml><?xml version="1.0" encoding="utf-8"?>
<comments xmlns="http://schemas.openxmlformats.org/spreadsheetml/2006/main">
  <authors>
    <author>ichiro</author>
  </authors>
  <commentList>
    <comment ref="Y39" authorId="0">
      <text>
        <r>
          <rPr>
            <b/>
            <sz val="9"/>
            <color indexed="81"/>
            <rFont val="ＭＳ Ｐゴシック"/>
            <family val="3"/>
            <charset val="128"/>
          </rPr>
          <t>ichiro:</t>
        </r>
        <r>
          <rPr>
            <sz val="9"/>
            <color indexed="81"/>
            <rFont val="ＭＳ Ｐゴシック"/>
            <family val="3"/>
            <charset val="128"/>
          </rPr>
          <t xml:space="preserve">
深夜徘徊
肌露出-0.5</t>
        </r>
      </text>
    </comment>
    <comment ref="Y44" authorId="0">
      <text>
        <r>
          <rPr>
            <b/>
            <sz val="9"/>
            <color indexed="81"/>
            <rFont val="ＭＳ Ｐゴシック"/>
            <family val="3"/>
            <charset val="128"/>
          </rPr>
          <t>ichiro:</t>
        </r>
        <r>
          <rPr>
            <sz val="9"/>
            <color indexed="81"/>
            <rFont val="ＭＳ Ｐゴシック"/>
            <family val="3"/>
            <charset val="128"/>
          </rPr>
          <t xml:space="preserve">
就寝時刻超過</t>
        </r>
      </text>
    </comment>
    <comment ref="Y46" authorId="0">
      <text>
        <r>
          <rPr>
            <b/>
            <sz val="9"/>
            <color indexed="81"/>
            <rFont val="ＭＳ Ｐゴシック"/>
            <family val="3"/>
            <charset val="128"/>
          </rPr>
          <t>ichiro:</t>
        </r>
        <r>
          <rPr>
            <sz val="9"/>
            <color indexed="81"/>
            <rFont val="ＭＳ Ｐゴシック"/>
            <family val="3"/>
            <charset val="128"/>
          </rPr>
          <t xml:space="preserve">
就寝時刻超過</t>
        </r>
      </text>
    </comment>
    <comment ref="Y48" authorId="0">
      <text>
        <r>
          <rPr>
            <b/>
            <sz val="9"/>
            <color indexed="81"/>
            <rFont val="ＭＳ Ｐゴシック"/>
            <family val="3"/>
            <charset val="128"/>
          </rPr>
          <t>ichiro:</t>
        </r>
        <r>
          <rPr>
            <sz val="9"/>
            <color indexed="81"/>
            <rFont val="ＭＳ Ｐゴシック"/>
            <family val="3"/>
            <charset val="128"/>
          </rPr>
          <t xml:space="preserve">
2日目集合1分以上遅刻</t>
        </r>
      </text>
    </comment>
    <comment ref="Y49" authorId="0">
      <text>
        <r>
          <rPr>
            <b/>
            <sz val="9"/>
            <color indexed="81"/>
            <rFont val="ＭＳ Ｐゴシック"/>
            <family val="3"/>
            <charset val="128"/>
          </rPr>
          <t>ichiro:</t>
        </r>
        <r>
          <rPr>
            <sz val="9"/>
            <color indexed="81"/>
            <rFont val="ＭＳ Ｐゴシック"/>
            <family val="3"/>
            <charset val="128"/>
          </rPr>
          <t xml:space="preserve">
2日目集合1分以上遅刻</t>
        </r>
      </text>
    </comment>
  </commentList>
</comments>
</file>

<file path=xl/sharedStrings.xml><?xml version="1.0" encoding="utf-8"?>
<sst xmlns="http://schemas.openxmlformats.org/spreadsheetml/2006/main" count="1114" uniqueCount="318">
  <si>
    <t>設営</t>
  </si>
  <si>
    <t>炊事</t>
  </si>
  <si>
    <t>気象</t>
  </si>
  <si>
    <t>読図</t>
  </si>
  <si>
    <t>事前研究</t>
  </si>
  <si>
    <t>救急法</t>
  </si>
  <si>
    <t>計画書</t>
  </si>
  <si>
    <t>記録書</t>
  </si>
  <si>
    <t>医薬品</t>
  </si>
  <si>
    <t>マナー</t>
  </si>
  <si>
    <t>合計</t>
  </si>
  <si>
    <t>広島学院</t>
  </si>
  <si>
    <t>尾道憲二</t>
  </si>
  <si>
    <t>高陽</t>
  </si>
  <si>
    <t>美藤陽一</t>
  </si>
  <si>
    <t>広大附属</t>
  </si>
  <si>
    <t>内海良一</t>
  </si>
  <si>
    <t>修道</t>
  </si>
  <si>
    <t>清原真琴</t>
  </si>
  <si>
    <t>安古市</t>
  </si>
  <si>
    <t>松島康浩</t>
  </si>
  <si>
    <t>三津田</t>
  </si>
  <si>
    <t>増永玲</t>
  </si>
  <si>
    <t>観音</t>
  </si>
  <si>
    <t>水野敬一</t>
  </si>
  <si>
    <t>廿日市</t>
  </si>
  <si>
    <t>懸川一明</t>
  </si>
  <si>
    <t>賀茂</t>
  </si>
  <si>
    <t>畑中　一志</t>
  </si>
  <si>
    <t>明王台</t>
  </si>
  <si>
    <t>福島信夫</t>
  </si>
  <si>
    <t>安芸</t>
  </si>
  <si>
    <t>土本勝彦</t>
  </si>
  <si>
    <t>森棟尚</t>
  </si>
  <si>
    <t>畦昭夫</t>
  </si>
  <si>
    <t>安芸府中</t>
  </si>
  <si>
    <t>森一</t>
  </si>
  <si>
    <t>呉工業</t>
  </si>
  <si>
    <t>守本秀樹</t>
  </si>
  <si>
    <t>中舛俊宏</t>
  </si>
  <si>
    <t>竹田文恵</t>
  </si>
  <si>
    <t>大庭充</t>
  </si>
  <si>
    <t>広島学院B4</t>
  </si>
  <si>
    <t>広島学院B5</t>
  </si>
  <si>
    <t>皆実</t>
  </si>
  <si>
    <t>隅広巌</t>
  </si>
  <si>
    <t>銭谷朋子</t>
  </si>
  <si>
    <t>清心</t>
  </si>
  <si>
    <t>大平哲也</t>
  </si>
  <si>
    <t>福永輝彦</t>
  </si>
  <si>
    <t>花房千鶴子</t>
  </si>
  <si>
    <t>広島商業</t>
  </si>
  <si>
    <t>松尾一俊</t>
  </si>
  <si>
    <t>石黒洋</t>
  </si>
  <si>
    <t>西部伸也</t>
  </si>
  <si>
    <t>基町</t>
  </si>
  <si>
    <t>原紺勇一</t>
  </si>
  <si>
    <t>守本　秀樹</t>
  </si>
  <si>
    <t>廿日市西</t>
  </si>
  <si>
    <t>北林秀樹</t>
  </si>
  <si>
    <t>国泰寺</t>
  </si>
  <si>
    <t>峠龍二</t>
  </si>
  <si>
    <t>国際学院</t>
  </si>
  <si>
    <t>森原博之</t>
  </si>
  <si>
    <t>宮島工業</t>
  </si>
  <si>
    <t>戸川仁</t>
  </si>
  <si>
    <t>広陵</t>
  </si>
  <si>
    <t>能勢欽也</t>
  </si>
  <si>
    <t>高陽東</t>
  </si>
  <si>
    <t>村川茂樹</t>
  </si>
  <si>
    <t>畑中一志</t>
  </si>
  <si>
    <t>表邦男</t>
  </si>
  <si>
    <t>格致</t>
  </si>
  <si>
    <t>香川真弓</t>
  </si>
  <si>
    <t>北川雅直</t>
  </si>
  <si>
    <t>前田理</t>
  </si>
  <si>
    <t>長船深雪</t>
  </si>
  <si>
    <t>塩見裕子</t>
  </si>
  <si>
    <t>清水尊司</t>
  </si>
  <si>
    <t>久保田眞吾</t>
  </si>
  <si>
    <t>海田</t>
  </si>
  <si>
    <t>林善久</t>
  </si>
  <si>
    <t>誠之館</t>
  </si>
  <si>
    <t>片山壮希</t>
  </si>
  <si>
    <t>隊</t>
    <rPh sb="0" eb="1">
      <t>タイ</t>
    </rPh>
    <phoneticPr fontId="2"/>
  </si>
  <si>
    <t>校名</t>
    <rPh sb="0" eb="2">
      <t>コウメイ</t>
    </rPh>
    <phoneticPr fontId="2"/>
  </si>
  <si>
    <t>監督</t>
    <rPh sb="0" eb="2">
      <t>カントク</t>
    </rPh>
    <phoneticPr fontId="2"/>
  </si>
  <si>
    <t>所要時間１</t>
    <rPh sb="0" eb="2">
      <t>ショヨウ</t>
    </rPh>
    <rPh sb="2" eb="4">
      <t>ジカン</t>
    </rPh>
    <phoneticPr fontId="2"/>
  </si>
  <si>
    <t>所要時間２</t>
    <rPh sb="0" eb="2">
      <t>ショヨウ</t>
    </rPh>
    <rPh sb="2" eb="4">
      <t>ジカン</t>
    </rPh>
    <phoneticPr fontId="2"/>
  </si>
  <si>
    <t>順位</t>
    <rPh sb="0" eb="2">
      <t>ジュンイ</t>
    </rPh>
    <phoneticPr fontId="2"/>
  </si>
  <si>
    <t>A</t>
    <phoneticPr fontId="2"/>
  </si>
  <si>
    <t>D</t>
    <phoneticPr fontId="2"/>
  </si>
  <si>
    <t>備考</t>
    <rPh sb="0" eb="2">
      <t>ビコウ</t>
    </rPh>
    <phoneticPr fontId="2"/>
  </si>
  <si>
    <t>B</t>
    <phoneticPr fontId="2"/>
  </si>
  <si>
    <t>規定時間１</t>
    <rPh sb="0" eb="2">
      <t>キテイ</t>
    </rPh>
    <rPh sb="2" eb="4">
      <t>ジカン</t>
    </rPh>
    <phoneticPr fontId="2"/>
  </si>
  <si>
    <t>規定時間２</t>
    <rPh sb="0" eb="2">
      <t>キテイ</t>
    </rPh>
    <rPh sb="2" eb="4">
      <t>ジカン</t>
    </rPh>
    <phoneticPr fontId="2"/>
  </si>
  <si>
    <t>ゼッケン</t>
    <phoneticPr fontId="2"/>
  </si>
  <si>
    <t>TS</t>
    <phoneticPr fontId="2"/>
  </si>
  <si>
    <t>TG</t>
    <phoneticPr fontId="2"/>
  </si>
  <si>
    <t>G</t>
    <phoneticPr fontId="2"/>
  </si>
  <si>
    <t>体力１</t>
    <phoneticPr fontId="2"/>
  </si>
  <si>
    <t>体力２</t>
    <phoneticPr fontId="2"/>
  </si>
  <si>
    <t>A</t>
    <phoneticPr fontId="2"/>
  </si>
  <si>
    <t>藤井一郎</t>
    <phoneticPr fontId="2"/>
  </si>
  <si>
    <t>B</t>
    <phoneticPr fontId="2"/>
  </si>
  <si>
    <t>高陽</t>
    <phoneticPr fontId="2"/>
  </si>
  <si>
    <t>広島学院B1</t>
    <phoneticPr fontId="2"/>
  </si>
  <si>
    <t>広島学院B2</t>
    <phoneticPr fontId="2"/>
  </si>
  <si>
    <t>広島学院B3</t>
    <phoneticPr fontId="2"/>
  </si>
  <si>
    <t>D</t>
    <phoneticPr fontId="2"/>
  </si>
  <si>
    <t>E</t>
    <phoneticPr fontId="2"/>
  </si>
  <si>
    <t>広大附属B1</t>
    <phoneticPr fontId="2"/>
  </si>
  <si>
    <t>広大附属B2</t>
    <phoneticPr fontId="2"/>
  </si>
  <si>
    <t>高陽B2</t>
    <phoneticPr fontId="2"/>
  </si>
  <si>
    <t>リタイア</t>
    <phoneticPr fontId="2"/>
  </si>
  <si>
    <t>C</t>
    <phoneticPr fontId="2"/>
  </si>
  <si>
    <t>呉工業B2</t>
    <phoneticPr fontId="2"/>
  </si>
  <si>
    <t>呉工業B1</t>
    <phoneticPr fontId="2"/>
  </si>
  <si>
    <t>F</t>
    <phoneticPr fontId="2"/>
  </si>
  <si>
    <t>装備</t>
    <phoneticPr fontId="2"/>
  </si>
  <si>
    <t>服装</t>
    <phoneticPr fontId="2"/>
  </si>
  <si>
    <t>審査結果をこれからの登山に活かしてください</t>
    <rPh sb="0" eb="2">
      <t>シンサ</t>
    </rPh>
    <rPh sb="2" eb="4">
      <t>ケッカ</t>
    </rPh>
    <rPh sb="10" eb="12">
      <t>トザン</t>
    </rPh>
    <rPh sb="13" eb="14">
      <t>イ</t>
    </rPh>
    <phoneticPr fontId="2"/>
  </si>
  <si>
    <t>ゼッケン</t>
    <phoneticPr fontId="2"/>
  </si>
  <si>
    <t>TS</t>
    <phoneticPr fontId="2"/>
  </si>
  <si>
    <t>TG</t>
    <phoneticPr fontId="2"/>
  </si>
  <si>
    <t>G</t>
    <phoneticPr fontId="2"/>
  </si>
  <si>
    <t>体力１</t>
    <phoneticPr fontId="2"/>
  </si>
  <si>
    <t>体力２</t>
    <phoneticPr fontId="2"/>
  </si>
  <si>
    <t>装備</t>
    <phoneticPr fontId="2"/>
  </si>
  <si>
    <t>服装</t>
    <phoneticPr fontId="2"/>
  </si>
  <si>
    <t>A</t>
    <phoneticPr fontId="2"/>
  </si>
  <si>
    <t>A</t>
    <phoneticPr fontId="2"/>
  </si>
  <si>
    <t>藤井一郎</t>
    <phoneticPr fontId="2"/>
  </si>
  <si>
    <t>広島学院B1</t>
    <phoneticPr fontId="2"/>
  </si>
  <si>
    <t>広島学院B2</t>
    <phoneticPr fontId="2"/>
  </si>
  <si>
    <t>広島学院B3</t>
    <phoneticPr fontId="2"/>
  </si>
  <si>
    <t>B</t>
    <phoneticPr fontId="2"/>
  </si>
  <si>
    <t>D</t>
    <phoneticPr fontId="2"/>
  </si>
  <si>
    <t>E</t>
    <phoneticPr fontId="2"/>
  </si>
  <si>
    <t>気象知識</t>
    <rPh sb="2" eb="4">
      <t>チシキ</t>
    </rPh>
    <phoneticPr fontId="2"/>
  </si>
  <si>
    <t>県立広島</t>
    <rPh sb="0" eb="2">
      <t>ケンリツ</t>
    </rPh>
    <rPh sb="2" eb="4">
      <t>ヒロシマ</t>
    </rPh>
    <phoneticPr fontId="2"/>
  </si>
  <si>
    <t>呉工業</t>
    <phoneticPr fontId="2"/>
  </si>
  <si>
    <t>広島学院</t>
    <rPh sb="0" eb="2">
      <t>ヒロシマ</t>
    </rPh>
    <rPh sb="2" eb="4">
      <t>ガクイン</t>
    </rPh>
    <phoneticPr fontId="2"/>
  </si>
  <si>
    <t>呉三津田</t>
    <rPh sb="0" eb="1">
      <t>クレ</t>
    </rPh>
    <rPh sb="1" eb="4">
      <t>ミツダ</t>
    </rPh>
    <phoneticPr fontId="2"/>
  </si>
  <si>
    <t>修道</t>
    <phoneticPr fontId="2"/>
  </si>
  <si>
    <t>高陽</t>
    <phoneticPr fontId="2"/>
  </si>
  <si>
    <t>五日市</t>
    <rPh sb="0" eb="3">
      <t>イツカイチ</t>
    </rPh>
    <phoneticPr fontId="2"/>
  </si>
  <si>
    <t>ゼッケン</t>
    <phoneticPr fontId="2"/>
  </si>
  <si>
    <t>TS</t>
    <phoneticPr fontId="2"/>
  </si>
  <si>
    <t>TG</t>
    <phoneticPr fontId="2"/>
  </si>
  <si>
    <t>G</t>
    <phoneticPr fontId="2"/>
  </si>
  <si>
    <t>装備</t>
    <phoneticPr fontId="2"/>
  </si>
  <si>
    <t>服装</t>
    <phoneticPr fontId="2"/>
  </si>
  <si>
    <t>A</t>
    <phoneticPr fontId="2"/>
  </si>
  <si>
    <t>A</t>
    <phoneticPr fontId="2"/>
  </si>
  <si>
    <t>修道</t>
    <phoneticPr fontId="2"/>
  </si>
  <si>
    <t>高陽</t>
    <phoneticPr fontId="2"/>
  </si>
  <si>
    <t>広島学院B2</t>
    <phoneticPr fontId="2"/>
  </si>
  <si>
    <t>広島学院B3</t>
    <phoneticPr fontId="2"/>
  </si>
  <si>
    <t>D</t>
    <phoneticPr fontId="2"/>
  </si>
  <si>
    <t>E</t>
    <phoneticPr fontId="2"/>
  </si>
  <si>
    <t>修道B1</t>
    <phoneticPr fontId="2"/>
  </si>
  <si>
    <t>修道B2</t>
    <phoneticPr fontId="2"/>
  </si>
  <si>
    <t>B</t>
    <phoneticPr fontId="2"/>
  </si>
  <si>
    <t>広島学院B1</t>
    <phoneticPr fontId="2"/>
  </si>
  <si>
    <t>高陽</t>
    <rPh sb="0" eb="1">
      <t>コウ</t>
    </rPh>
    <rPh sb="1" eb="2">
      <t>ヨウ</t>
    </rPh>
    <phoneticPr fontId="2"/>
  </si>
  <si>
    <t>平均</t>
    <rPh sb="0" eb="2">
      <t>ヘイキン</t>
    </rPh>
    <phoneticPr fontId="2"/>
  </si>
  <si>
    <t>最高点</t>
    <rPh sb="0" eb="3">
      <t>サイコウテン</t>
    </rPh>
    <phoneticPr fontId="2"/>
  </si>
  <si>
    <t>最低点</t>
    <rPh sb="0" eb="2">
      <t>サイテイ</t>
    </rPh>
    <rPh sb="2" eb="3">
      <t>テン</t>
    </rPh>
    <phoneticPr fontId="2"/>
  </si>
  <si>
    <t>特S計量１</t>
    <rPh sb="0" eb="1">
      <t>トク</t>
    </rPh>
    <rPh sb="2" eb="4">
      <t>ケイリョウ</t>
    </rPh>
    <phoneticPr fontId="2"/>
  </si>
  <si>
    <t>特S計量２</t>
    <rPh sb="0" eb="1">
      <t>トク</t>
    </rPh>
    <rPh sb="2" eb="4">
      <t>ケイリョウ</t>
    </rPh>
    <phoneticPr fontId="2"/>
  </si>
  <si>
    <t>特S計量３</t>
    <rPh sb="0" eb="1">
      <t>トク</t>
    </rPh>
    <rPh sb="2" eb="4">
      <t>ケイリョウ</t>
    </rPh>
    <phoneticPr fontId="2"/>
  </si>
  <si>
    <t>特S計量４</t>
    <rPh sb="0" eb="1">
      <t>トク</t>
    </rPh>
    <rPh sb="2" eb="4">
      <t>ケイリョウ</t>
    </rPh>
    <phoneticPr fontId="2"/>
  </si>
  <si>
    <t>特S計量</t>
    <rPh sb="0" eb="1">
      <t>トク</t>
    </rPh>
    <rPh sb="2" eb="4">
      <t>ケイリョウ</t>
    </rPh>
    <phoneticPr fontId="2"/>
  </si>
  <si>
    <t>特G計量１</t>
    <rPh sb="0" eb="1">
      <t>トク</t>
    </rPh>
    <rPh sb="2" eb="4">
      <t>ケイリョウ</t>
    </rPh>
    <phoneticPr fontId="2"/>
  </si>
  <si>
    <t>特G計量２</t>
    <rPh sb="0" eb="1">
      <t>トク</t>
    </rPh>
    <rPh sb="2" eb="4">
      <t>ケイリョウ</t>
    </rPh>
    <phoneticPr fontId="2"/>
  </si>
  <si>
    <t>特G計量３</t>
    <rPh sb="0" eb="1">
      <t>トク</t>
    </rPh>
    <rPh sb="2" eb="4">
      <t>ケイリョウ</t>
    </rPh>
    <phoneticPr fontId="2"/>
  </si>
  <si>
    <t>特G計量４</t>
    <rPh sb="0" eb="1">
      <t>トク</t>
    </rPh>
    <rPh sb="2" eb="4">
      <t>ケイリョウ</t>
    </rPh>
    <phoneticPr fontId="2"/>
  </si>
  <si>
    <t>特G計量</t>
    <rPh sb="0" eb="1">
      <t>トク</t>
    </rPh>
    <rPh sb="2" eb="4">
      <t>ケイリョウ</t>
    </rPh>
    <phoneticPr fontId="2"/>
  </si>
  <si>
    <t>平均得点率</t>
    <rPh sb="0" eb="2">
      <t>ヘイキン</t>
    </rPh>
    <rPh sb="2" eb="4">
      <t>トクテン</t>
    </rPh>
    <rPh sb="4" eb="5">
      <t>リツ</t>
    </rPh>
    <phoneticPr fontId="2"/>
  </si>
  <si>
    <t>修道</t>
    <rPh sb="0" eb="2">
      <t>シュウドウ</t>
    </rPh>
    <phoneticPr fontId="2"/>
  </si>
  <si>
    <t>安芸</t>
    <rPh sb="0" eb="2">
      <t>アキ</t>
    </rPh>
    <phoneticPr fontId="2"/>
  </si>
  <si>
    <t>修道B1</t>
    <rPh sb="0" eb="2">
      <t>シュウドウ</t>
    </rPh>
    <phoneticPr fontId="2"/>
  </si>
  <si>
    <t>安古市</t>
    <rPh sb="0" eb="1">
      <t>ヤス</t>
    </rPh>
    <rPh sb="1" eb="3">
      <t>フルイチ</t>
    </rPh>
    <phoneticPr fontId="2"/>
  </si>
  <si>
    <t>広島学院B1</t>
    <phoneticPr fontId="2"/>
  </si>
  <si>
    <t>広島学院B4</t>
    <phoneticPr fontId="2"/>
  </si>
  <si>
    <t>修道B2</t>
    <phoneticPr fontId="2"/>
  </si>
  <si>
    <t>広島学院B5</t>
    <phoneticPr fontId="2"/>
  </si>
  <si>
    <t>参考点</t>
    <rPh sb="0" eb="2">
      <t>サンコウ</t>
    </rPh>
    <rPh sb="2" eb="3">
      <t>テン</t>
    </rPh>
    <phoneticPr fontId="2"/>
  </si>
  <si>
    <t>清心</t>
    <phoneticPr fontId="2"/>
  </si>
  <si>
    <t>広島学院</t>
    <phoneticPr fontId="2"/>
  </si>
  <si>
    <t>修道B3</t>
  </si>
  <si>
    <t>清心</t>
    <phoneticPr fontId="2"/>
  </si>
  <si>
    <t>広島基町</t>
    <rPh sb="0" eb="2">
      <t>ヒロシマ</t>
    </rPh>
    <rPh sb="2" eb="4">
      <t>モトマチ</t>
    </rPh>
    <phoneticPr fontId="2"/>
  </si>
  <si>
    <t>体力</t>
    <phoneticPr fontId="2"/>
  </si>
  <si>
    <t>歩行</t>
    <rPh sb="0" eb="2">
      <t>ホコウ</t>
    </rPh>
    <phoneticPr fontId="2"/>
  </si>
  <si>
    <t>天気図</t>
    <rPh sb="0" eb="3">
      <t>テンキズ</t>
    </rPh>
    <phoneticPr fontId="2"/>
  </si>
  <si>
    <t>赤１</t>
    <rPh sb="0" eb="1">
      <t>アカ</t>
    </rPh>
    <phoneticPr fontId="2"/>
  </si>
  <si>
    <t>赤２</t>
    <rPh sb="0" eb="1">
      <t>アカ</t>
    </rPh>
    <phoneticPr fontId="2"/>
  </si>
  <si>
    <t>赤３</t>
    <rPh sb="0" eb="1">
      <t>アカ</t>
    </rPh>
    <phoneticPr fontId="2"/>
  </si>
  <si>
    <t>赤４</t>
    <rPh sb="0" eb="1">
      <t>アカ</t>
    </rPh>
    <phoneticPr fontId="2"/>
  </si>
  <si>
    <t>赤５</t>
    <rPh sb="0" eb="1">
      <t>アカ</t>
    </rPh>
    <phoneticPr fontId="2"/>
  </si>
  <si>
    <t>赤６</t>
    <rPh sb="0" eb="1">
      <t>アカ</t>
    </rPh>
    <phoneticPr fontId="2"/>
  </si>
  <si>
    <t>白１</t>
    <rPh sb="0" eb="1">
      <t>シロ</t>
    </rPh>
    <phoneticPr fontId="2"/>
  </si>
  <si>
    <t>白２</t>
    <rPh sb="0" eb="1">
      <t>シロ</t>
    </rPh>
    <phoneticPr fontId="2"/>
  </si>
  <si>
    <t>白３</t>
    <rPh sb="0" eb="1">
      <t>シロ</t>
    </rPh>
    <phoneticPr fontId="2"/>
  </si>
  <si>
    <t>白４</t>
    <rPh sb="0" eb="1">
      <t>シロ</t>
    </rPh>
    <phoneticPr fontId="2"/>
  </si>
  <si>
    <t>白５</t>
    <rPh sb="0" eb="1">
      <t>シロ</t>
    </rPh>
    <phoneticPr fontId="2"/>
  </si>
  <si>
    <t>白６</t>
    <rPh sb="0" eb="1">
      <t>シロ</t>
    </rPh>
    <phoneticPr fontId="2"/>
  </si>
  <si>
    <t>白７</t>
    <rPh sb="0" eb="1">
      <t>シロ</t>
    </rPh>
    <phoneticPr fontId="2"/>
  </si>
  <si>
    <t>青１</t>
    <rPh sb="0" eb="1">
      <t>アオ</t>
    </rPh>
    <phoneticPr fontId="2"/>
  </si>
  <si>
    <t>青２</t>
    <rPh sb="0" eb="1">
      <t>アオ</t>
    </rPh>
    <phoneticPr fontId="2"/>
  </si>
  <si>
    <t>青３</t>
    <rPh sb="0" eb="1">
      <t>アオ</t>
    </rPh>
    <phoneticPr fontId="2"/>
  </si>
  <si>
    <t>黄１</t>
    <rPh sb="0" eb="1">
      <t>キ</t>
    </rPh>
    <phoneticPr fontId="2"/>
  </si>
  <si>
    <t>黄２</t>
    <rPh sb="0" eb="1">
      <t>キ</t>
    </rPh>
    <phoneticPr fontId="2"/>
  </si>
  <si>
    <t>ゼッケン</t>
    <phoneticPr fontId="2"/>
  </si>
  <si>
    <t>E</t>
    <phoneticPr fontId="2"/>
  </si>
  <si>
    <t>青４</t>
    <rPh sb="0" eb="1">
      <t>アオ</t>
    </rPh>
    <phoneticPr fontId="2"/>
  </si>
  <si>
    <t>呉三津田</t>
    <rPh sb="0" eb="1">
      <t>クレ</t>
    </rPh>
    <rPh sb="1" eb="3">
      <t>ミツ</t>
    </rPh>
    <rPh sb="3" eb="4">
      <t>ダ</t>
    </rPh>
    <phoneticPr fontId="2"/>
  </si>
  <si>
    <t>広島学院B1</t>
    <phoneticPr fontId="2"/>
  </si>
  <si>
    <t>広島学院B2</t>
    <phoneticPr fontId="2"/>
  </si>
  <si>
    <t>鉾取山</t>
    <rPh sb="0" eb="1">
      <t>ホコ</t>
    </rPh>
    <rPh sb="1" eb="2">
      <t>トリ</t>
    </rPh>
    <rPh sb="2" eb="3">
      <t>ヤマ</t>
    </rPh>
    <phoneticPr fontId="2"/>
  </si>
  <si>
    <t>特S計量5</t>
    <rPh sb="0" eb="1">
      <t>トク</t>
    </rPh>
    <rPh sb="2" eb="4">
      <t>ケイリョウ</t>
    </rPh>
    <phoneticPr fontId="2"/>
  </si>
  <si>
    <t>特G計量５</t>
    <rPh sb="0" eb="1">
      <t>トク</t>
    </rPh>
    <rPh sb="2" eb="4">
      <t>ケイリョウ</t>
    </rPh>
    <phoneticPr fontId="2"/>
  </si>
  <si>
    <t>重量不足0.1kg-0.1点</t>
    <rPh sb="0" eb="2">
      <t>ジュウリョウ</t>
    </rPh>
    <rPh sb="2" eb="4">
      <t>フソク</t>
    </rPh>
    <rPh sb="13" eb="14">
      <t>テン</t>
    </rPh>
    <phoneticPr fontId="2"/>
  </si>
  <si>
    <t>ビブス</t>
    <phoneticPr fontId="2"/>
  </si>
  <si>
    <t>極楽寺山</t>
    <rPh sb="0" eb="3">
      <t>ゴクラクジ</t>
    </rPh>
    <rPh sb="3" eb="4">
      <t>ヤマ</t>
    </rPh>
    <phoneticPr fontId="2"/>
  </si>
  <si>
    <t>基町</t>
    <rPh sb="0" eb="2">
      <t>モトマチ</t>
    </rPh>
    <phoneticPr fontId="2"/>
  </si>
  <si>
    <t>広島観音</t>
    <rPh sb="0" eb="2">
      <t>ヒロシマ</t>
    </rPh>
    <rPh sb="2" eb="3">
      <t>カン</t>
    </rPh>
    <rPh sb="3" eb="4">
      <t>オン</t>
    </rPh>
    <phoneticPr fontId="2"/>
  </si>
  <si>
    <t>基町B1</t>
    <rPh sb="0" eb="2">
      <t>モトマチ</t>
    </rPh>
    <phoneticPr fontId="2"/>
  </si>
  <si>
    <t>高陽B1</t>
    <rPh sb="0" eb="1">
      <t>コウ</t>
    </rPh>
    <rPh sb="1" eb="2">
      <t>ヨウ</t>
    </rPh>
    <phoneticPr fontId="2"/>
  </si>
  <si>
    <t>学院B1</t>
    <rPh sb="0" eb="2">
      <t>ガクイン</t>
    </rPh>
    <phoneticPr fontId="2"/>
  </si>
  <si>
    <t>呉三津田B1</t>
    <rPh sb="0" eb="1">
      <t>クレ</t>
    </rPh>
    <rPh sb="1" eb="3">
      <t>ミツ</t>
    </rPh>
    <rPh sb="3" eb="4">
      <t>ダ</t>
    </rPh>
    <phoneticPr fontId="2"/>
  </si>
  <si>
    <t>基町B2</t>
    <rPh sb="0" eb="2">
      <t>モトマチ</t>
    </rPh>
    <phoneticPr fontId="2"/>
  </si>
  <si>
    <t>修道B2</t>
    <rPh sb="0" eb="2">
      <t>シュウドウ</t>
    </rPh>
    <phoneticPr fontId="2"/>
  </si>
  <si>
    <t>高陽B2</t>
    <rPh sb="0" eb="1">
      <t>コウ</t>
    </rPh>
    <rPh sb="1" eb="2">
      <t>ヨウ</t>
    </rPh>
    <phoneticPr fontId="2"/>
  </si>
  <si>
    <t>呉三津田B2</t>
    <rPh sb="0" eb="1">
      <t>クレ</t>
    </rPh>
    <rPh sb="1" eb="3">
      <t>ミツ</t>
    </rPh>
    <rPh sb="3" eb="4">
      <t>ダ</t>
    </rPh>
    <phoneticPr fontId="2"/>
  </si>
  <si>
    <t>学院B2</t>
    <rPh sb="0" eb="2">
      <t>ガクイン</t>
    </rPh>
    <phoneticPr fontId="2"/>
  </si>
  <si>
    <t>清心</t>
    <phoneticPr fontId="2"/>
  </si>
  <si>
    <t>B</t>
    <phoneticPr fontId="2"/>
  </si>
  <si>
    <t>D</t>
    <phoneticPr fontId="2"/>
  </si>
  <si>
    <t>黄３</t>
    <rPh sb="0" eb="1">
      <t>キ</t>
    </rPh>
    <phoneticPr fontId="2"/>
  </si>
  <si>
    <t>黄４</t>
    <rPh sb="0" eb="1">
      <t>キ</t>
    </rPh>
    <phoneticPr fontId="2"/>
  </si>
  <si>
    <t>黄５</t>
    <rPh sb="0" eb="1">
      <t>キ</t>
    </rPh>
    <phoneticPr fontId="2"/>
  </si>
  <si>
    <t>黄６</t>
    <rPh sb="0" eb="1">
      <t>キ</t>
    </rPh>
    <phoneticPr fontId="2"/>
  </si>
  <si>
    <t>黄７</t>
    <rPh sb="0" eb="1">
      <t>キ</t>
    </rPh>
    <phoneticPr fontId="2"/>
  </si>
  <si>
    <t>黄８</t>
    <rPh sb="0" eb="1">
      <t>キ</t>
    </rPh>
    <phoneticPr fontId="2"/>
  </si>
  <si>
    <t>緑１</t>
    <rPh sb="0" eb="1">
      <t>ミドリ</t>
    </rPh>
    <phoneticPr fontId="2"/>
  </si>
  <si>
    <t>緑２</t>
    <rPh sb="0" eb="1">
      <t>ミドリ</t>
    </rPh>
    <phoneticPr fontId="2"/>
  </si>
  <si>
    <t>緑３</t>
    <rPh sb="0" eb="1">
      <t>ミドリ</t>
    </rPh>
    <phoneticPr fontId="2"/>
  </si>
  <si>
    <t>緑４</t>
    <rPh sb="0" eb="1">
      <t>ミドリ</t>
    </rPh>
    <phoneticPr fontId="2"/>
  </si>
  <si>
    <t>緑５</t>
    <rPh sb="0" eb="1">
      <t>ミドリ</t>
    </rPh>
    <phoneticPr fontId="2"/>
  </si>
  <si>
    <t>緑６</t>
    <rPh sb="0" eb="1">
      <t>ミドリ</t>
    </rPh>
    <phoneticPr fontId="2"/>
  </si>
  <si>
    <t>緑７</t>
    <rPh sb="0" eb="1">
      <t>ミドリ</t>
    </rPh>
    <phoneticPr fontId="2"/>
  </si>
  <si>
    <t>緑８</t>
    <rPh sb="0" eb="1">
      <t>ミドリ</t>
    </rPh>
    <phoneticPr fontId="2"/>
  </si>
  <si>
    <t>緑９</t>
    <rPh sb="0" eb="1">
      <t>ミドリ</t>
    </rPh>
    <phoneticPr fontId="2"/>
  </si>
  <si>
    <t>緑１０</t>
    <rPh sb="0" eb="1">
      <t>ミドリ</t>
    </rPh>
    <phoneticPr fontId="2"/>
  </si>
  <si>
    <t>緑１１</t>
    <rPh sb="0" eb="1">
      <t>ミドリ</t>
    </rPh>
    <phoneticPr fontId="2"/>
  </si>
  <si>
    <t>重量不足0.1kg-0.1点</t>
    <phoneticPr fontId="2"/>
  </si>
  <si>
    <t>CP不通過</t>
    <rPh sb="2" eb="3">
      <t>フ</t>
    </rPh>
    <rPh sb="3" eb="5">
      <t>ツウカ</t>
    </rPh>
    <phoneticPr fontId="2"/>
  </si>
  <si>
    <t>広島学院</t>
    <rPh sb="0" eb="2">
      <t>ヒロシマ</t>
    </rPh>
    <rPh sb="2" eb="4">
      <t>ガクイン</t>
    </rPh>
    <phoneticPr fontId="1"/>
  </si>
  <si>
    <t>安　芸</t>
    <rPh sb="0" eb="1">
      <t>ヤス</t>
    </rPh>
    <rPh sb="2" eb="3">
      <t>ゲイ</t>
    </rPh>
    <phoneticPr fontId="1"/>
  </si>
  <si>
    <t>修　道</t>
    <rPh sb="0" eb="1">
      <t>オサム</t>
    </rPh>
    <rPh sb="2" eb="3">
      <t>ミチ</t>
    </rPh>
    <phoneticPr fontId="1"/>
  </si>
  <si>
    <t>安古市</t>
    <rPh sb="0" eb="1">
      <t>ヤス</t>
    </rPh>
    <rPh sb="1" eb="3">
      <t>フルイチ</t>
    </rPh>
    <phoneticPr fontId="1"/>
  </si>
  <si>
    <t>基　町</t>
    <rPh sb="0" eb="1">
      <t>モト</t>
    </rPh>
    <rPh sb="2" eb="3">
      <t>チョウ</t>
    </rPh>
    <phoneticPr fontId="1"/>
  </si>
  <si>
    <t>高　陽</t>
    <rPh sb="0" eb="1">
      <t>コウ</t>
    </rPh>
    <rPh sb="2" eb="3">
      <t>ヨウ</t>
    </rPh>
    <phoneticPr fontId="1"/>
  </si>
  <si>
    <t>五日市</t>
    <rPh sb="0" eb="3">
      <t>イツカイチ</t>
    </rPh>
    <phoneticPr fontId="1"/>
  </si>
  <si>
    <t>賀　茂</t>
    <rPh sb="0" eb="1">
      <t>ガ</t>
    </rPh>
    <rPh sb="2" eb="3">
      <t>シゲル</t>
    </rPh>
    <phoneticPr fontId="1"/>
  </si>
  <si>
    <t>緑１２</t>
    <rPh sb="0" eb="1">
      <t>ミドリ</t>
    </rPh>
    <phoneticPr fontId="2"/>
  </si>
  <si>
    <t>緑１３</t>
    <rPh sb="0" eb="1">
      <t>ミドリ</t>
    </rPh>
    <phoneticPr fontId="2"/>
  </si>
  <si>
    <t>緑１４</t>
    <rPh sb="0" eb="1">
      <t>ミドリ</t>
    </rPh>
    <phoneticPr fontId="2"/>
  </si>
  <si>
    <t>基町B1</t>
    <rPh sb="0" eb="2">
      <t>モトマチ</t>
    </rPh>
    <phoneticPr fontId="1"/>
  </si>
  <si>
    <t>修道B1</t>
    <rPh sb="0" eb="2">
      <t>シュウドウ</t>
    </rPh>
    <phoneticPr fontId="1"/>
  </si>
  <si>
    <t>高陽B1</t>
    <rPh sb="0" eb="1">
      <t>コウ</t>
    </rPh>
    <rPh sb="1" eb="2">
      <t>ヨウ</t>
    </rPh>
    <phoneticPr fontId="1"/>
  </si>
  <si>
    <t>広島学院B1</t>
    <rPh sb="0" eb="2">
      <t>ヒロシマ</t>
    </rPh>
    <rPh sb="2" eb="4">
      <t>ガクイン</t>
    </rPh>
    <phoneticPr fontId="1"/>
  </si>
  <si>
    <t>五日市B1</t>
    <rPh sb="0" eb="3">
      <t>イツカイチ</t>
    </rPh>
    <phoneticPr fontId="1"/>
  </si>
  <si>
    <t>基町B２</t>
    <rPh sb="0" eb="2">
      <t>モトマチ</t>
    </rPh>
    <phoneticPr fontId="1"/>
  </si>
  <si>
    <t>修道B２</t>
    <rPh sb="0" eb="2">
      <t>シュウドウ</t>
    </rPh>
    <phoneticPr fontId="1"/>
  </si>
  <si>
    <t>高陽B２</t>
    <rPh sb="0" eb="1">
      <t>コウ</t>
    </rPh>
    <rPh sb="1" eb="2">
      <t>ヨウ</t>
    </rPh>
    <phoneticPr fontId="1"/>
  </si>
  <si>
    <t>広島学院B２</t>
    <rPh sb="0" eb="2">
      <t>ヒロシマ</t>
    </rPh>
    <rPh sb="2" eb="4">
      <t>ガクイン</t>
    </rPh>
    <phoneticPr fontId="1"/>
  </si>
  <si>
    <t>五日市B２</t>
    <rPh sb="0" eb="3">
      <t>イツカイチ</t>
    </rPh>
    <phoneticPr fontId="1"/>
  </si>
  <si>
    <t>基町B3</t>
    <rPh sb="0" eb="2">
      <t>モトマチ</t>
    </rPh>
    <phoneticPr fontId="1"/>
  </si>
  <si>
    <t>修道B3</t>
    <rPh sb="0" eb="2">
      <t>シュウドウ</t>
    </rPh>
    <phoneticPr fontId="1"/>
  </si>
  <si>
    <t>高陽B3</t>
    <rPh sb="0" eb="1">
      <t>コウ</t>
    </rPh>
    <rPh sb="1" eb="2">
      <t>ヨウ</t>
    </rPh>
    <phoneticPr fontId="1"/>
  </si>
  <si>
    <t>県立広島</t>
    <rPh sb="0" eb="2">
      <t>ケンリツ</t>
    </rPh>
    <rPh sb="2" eb="4">
      <t>ヒロシマ</t>
    </rPh>
    <phoneticPr fontId="1"/>
  </si>
  <si>
    <t>五日市E1</t>
    <rPh sb="0" eb="3">
      <t>イツカイチ</t>
    </rPh>
    <phoneticPr fontId="1"/>
  </si>
  <si>
    <t>基町E1</t>
    <rPh sb="0" eb="2">
      <t>モトマチ</t>
    </rPh>
    <phoneticPr fontId="1"/>
  </si>
  <si>
    <t>ﾉｰﾄﾙﾀﾞﾑ清心</t>
    <rPh sb="7" eb="9">
      <t>セイシン</t>
    </rPh>
    <phoneticPr fontId="1"/>
  </si>
  <si>
    <t>五日市E２</t>
    <rPh sb="0" eb="3">
      <t>イツカイチ</t>
    </rPh>
    <phoneticPr fontId="1"/>
  </si>
  <si>
    <t>基町E２</t>
    <rPh sb="0" eb="2">
      <t>モトマチ</t>
    </rPh>
    <phoneticPr fontId="1"/>
  </si>
  <si>
    <t>五日市E3</t>
    <rPh sb="0" eb="3">
      <t>イツカイチ</t>
    </rPh>
    <phoneticPr fontId="1"/>
  </si>
  <si>
    <t>青５</t>
    <rPh sb="0" eb="1">
      <t>アオ</t>
    </rPh>
    <phoneticPr fontId="2"/>
  </si>
  <si>
    <t>青６</t>
    <rPh sb="0" eb="1">
      <t>アオ</t>
    </rPh>
    <phoneticPr fontId="2"/>
  </si>
  <si>
    <t>青７</t>
    <rPh sb="0" eb="1">
      <t>アオ</t>
    </rPh>
    <phoneticPr fontId="2"/>
  </si>
  <si>
    <t>B</t>
    <phoneticPr fontId="2"/>
  </si>
  <si>
    <t>広島学院B３</t>
    <rPh sb="0" eb="2">
      <t>ヒロシマ</t>
    </rPh>
    <rPh sb="2" eb="4">
      <t>ガクイン</t>
    </rPh>
    <phoneticPr fontId="2"/>
  </si>
  <si>
    <t>緑１５</t>
    <rPh sb="0" eb="1">
      <t>ミドリ</t>
    </rPh>
    <phoneticPr fontId="2"/>
  </si>
  <si>
    <t>自然観察</t>
    <rPh sb="0" eb="2">
      <t>シゼン</t>
    </rPh>
    <rPh sb="2" eb="4">
      <t>カンサツ</t>
    </rPh>
    <phoneticPr fontId="2"/>
  </si>
  <si>
    <t>火山・大茶臼山</t>
    <rPh sb="0" eb="1">
      <t>ヒ</t>
    </rPh>
    <rPh sb="1" eb="2">
      <t>ヤマ</t>
    </rPh>
    <rPh sb="3" eb="4">
      <t>オオ</t>
    </rPh>
    <rPh sb="4" eb="5">
      <t>チャ</t>
    </rPh>
    <rPh sb="5" eb="6">
      <t>ウス</t>
    </rPh>
    <rPh sb="6" eb="7">
      <t>ヤマ</t>
    </rPh>
    <phoneticPr fontId="2"/>
  </si>
  <si>
    <t>宮島</t>
    <rPh sb="0" eb="2">
      <t>ミヤジマ</t>
    </rPh>
    <phoneticPr fontId="2"/>
  </si>
  <si>
    <t>安芸府中</t>
    <rPh sb="0" eb="2">
      <t>アキ</t>
    </rPh>
    <rPh sb="2" eb="4">
      <t>フチュウ</t>
    </rPh>
    <phoneticPr fontId="2"/>
  </si>
  <si>
    <t>広島学院B1</t>
    <rPh sb="0" eb="2">
      <t>ヒロシマ</t>
    </rPh>
    <rPh sb="2" eb="4">
      <t>ガクイン</t>
    </rPh>
    <phoneticPr fontId="2"/>
  </si>
  <si>
    <t>賀茂</t>
    <rPh sb="0" eb="2">
      <t>カモ</t>
    </rPh>
    <phoneticPr fontId="1"/>
  </si>
  <si>
    <t>広島学院B2</t>
    <rPh sb="0" eb="2">
      <t>ヒロシマ</t>
    </rPh>
    <rPh sb="2" eb="4">
      <t>ガクイン</t>
    </rPh>
    <phoneticPr fontId="2"/>
  </si>
  <si>
    <t>修道B3</t>
    <rPh sb="0" eb="2">
      <t>シュウドウ</t>
    </rPh>
    <phoneticPr fontId="2"/>
  </si>
  <si>
    <t>広島学院B3</t>
    <rPh sb="0" eb="2">
      <t>ヒロシマ</t>
    </rPh>
    <rPh sb="2" eb="4">
      <t>ガクイン</t>
    </rPh>
    <phoneticPr fontId="2"/>
  </si>
  <si>
    <t>修道B4</t>
    <rPh sb="0" eb="2">
      <t>シュウドウ</t>
    </rPh>
    <phoneticPr fontId="2"/>
  </si>
  <si>
    <t>五日市E1</t>
    <rPh sb="0" eb="3">
      <t>イツカイチ</t>
    </rPh>
    <phoneticPr fontId="2"/>
  </si>
  <si>
    <t>基町E1</t>
    <rPh sb="0" eb="2">
      <t>モトマチ</t>
    </rPh>
    <phoneticPr fontId="2"/>
  </si>
  <si>
    <t>五日市E2</t>
    <rPh sb="0" eb="3">
      <t>イツカイチ</t>
    </rPh>
    <phoneticPr fontId="2"/>
  </si>
  <si>
    <t>基町E2</t>
    <rPh sb="0" eb="2">
      <t>モトマチ</t>
    </rPh>
    <phoneticPr fontId="2"/>
  </si>
  <si>
    <t>装備</t>
    <phoneticPr fontId="2"/>
  </si>
  <si>
    <t>特S計量1</t>
    <rPh sb="0" eb="1">
      <t>トク</t>
    </rPh>
    <rPh sb="2" eb="4">
      <t>ケイリョウ</t>
    </rPh>
    <phoneticPr fontId="2"/>
  </si>
  <si>
    <t>特G計量1</t>
    <rPh sb="0" eb="1">
      <t>トク</t>
    </rPh>
    <rPh sb="2" eb="4">
      <t>ケイリョウ</t>
    </rPh>
    <phoneticPr fontId="2"/>
  </si>
  <si>
    <t>計量１</t>
    <rPh sb="0" eb="2">
      <t>ケイリョウ</t>
    </rPh>
    <phoneticPr fontId="2"/>
  </si>
  <si>
    <t>規定重量１</t>
    <rPh sb="0" eb="2">
      <t>キテイ</t>
    </rPh>
    <rPh sb="2" eb="4">
      <t>ジュウリョウ</t>
    </rPh>
    <phoneticPr fontId="2"/>
  </si>
  <si>
    <t>規定重量減点１</t>
    <rPh sb="0" eb="2">
      <t>キテイ</t>
    </rPh>
    <rPh sb="2" eb="4">
      <t>ジュウリョウ</t>
    </rPh>
    <rPh sb="4" eb="6">
      <t>ゲンテン</t>
    </rPh>
    <phoneticPr fontId="2"/>
  </si>
  <si>
    <t>ave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</si>
</sst>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 "/>
    <numFmt numFmtId="178" formatCode="0.00_ "/>
    <numFmt numFmtId="179" formatCode="yyyy&quot;年&quot;m&quot;月&quot;d&quot;日&quot;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Border="1" applyAlignment="1">
      <alignment horizontal="left" shrinkToFit="1"/>
    </xf>
    <xf numFmtId="0" fontId="3" fillId="0" borderId="0" xfId="0" applyFont="1" applyBorder="1"/>
    <xf numFmtId="0" fontId="0" fillId="0" borderId="1" xfId="0" applyBorder="1"/>
    <xf numFmtId="21" fontId="0" fillId="2" borderId="1" xfId="0" applyNumberFormat="1" applyFill="1" applyBorder="1" applyAlignment="1">
      <alignment horizontal="left"/>
    </xf>
    <xf numFmtId="176" fontId="0" fillId="2" borderId="1" xfId="0" applyNumberFormat="1" applyFill="1" applyBorder="1"/>
    <xf numFmtId="0" fontId="0" fillId="0" borderId="0" xfId="0" applyBorder="1"/>
    <xf numFmtId="176" fontId="0" fillId="0" borderId="0" xfId="0" applyNumberFormat="1"/>
    <xf numFmtId="0" fontId="0" fillId="0" borderId="2" xfId="0" applyBorder="1"/>
    <xf numFmtId="0" fontId="0" fillId="0" borderId="1" xfId="0" applyFill="1" applyBorder="1"/>
    <xf numFmtId="0" fontId="4" fillId="0" borderId="1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21" fontId="0" fillId="0" borderId="0" xfId="0" applyNumberFormat="1" applyFill="1" applyBorder="1" applyAlignment="1">
      <alignment horizontal="left"/>
    </xf>
    <xf numFmtId="176" fontId="0" fillId="0" borderId="0" xfId="0" applyNumberFormat="1" applyFill="1"/>
    <xf numFmtId="0" fontId="0" fillId="0" borderId="0" xfId="0" applyFill="1"/>
    <xf numFmtId="21" fontId="0" fillId="3" borderId="1" xfId="0" applyNumberFormat="1" applyFill="1" applyBorder="1" applyAlignment="1">
      <alignment horizontal="left"/>
    </xf>
    <xf numFmtId="176" fontId="0" fillId="3" borderId="1" xfId="0" applyNumberFormat="1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21" fontId="0" fillId="3" borderId="2" xfId="0" applyNumberFormat="1" applyFill="1" applyBorder="1" applyAlignment="1">
      <alignment horizontal="left"/>
    </xf>
    <xf numFmtId="21" fontId="0" fillId="2" borderId="2" xfId="0" applyNumberFormat="1" applyFill="1" applyBorder="1" applyAlignment="1">
      <alignment horizontal="left"/>
    </xf>
    <xf numFmtId="176" fontId="0" fillId="2" borderId="2" xfId="0" applyNumberFormat="1" applyFill="1" applyBorder="1"/>
    <xf numFmtId="176" fontId="0" fillId="3" borderId="2" xfId="0" applyNumberFormat="1" applyFill="1" applyBorder="1"/>
    <xf numFmtId="0" fontId="0" fillId="0" borderId="3" xfId="0" applyFill="1" applyBorder="1"/>
    <xf numFmtId="0" fontId="4" fillId="0" borderId="3" xfId="0" applyFont="1" applyFill="1" applyBorder="1" applyAlignment="1">
      <alignment horizontal="left" wrapText="1"/>
    </xf>
    <xf numFmtId="21" fontId="0" fillId="3" borderId="3" xfId="0" applyNumberFormat="1" applyFill="1" applyBorder="1" applyAlignment="1">
      <alignment horizontal="left"/>
    </xf>
    <xf numFmtId="21" fontId="0" fillId="2" borderId="3" xfId="0" applyNumberFormat="1" applyFill="1" applyBorder="1" applyAlignment="1">
      <alignment horizontal="left"/>
    </xf>
    <xf numFmtId="176" fontId="0" fillId="2" borderId="3" xfId="0" applyNumberFormat="1" applyFill="1" applyBorder="1"/>
    <xf numFmtId="176" fontId="0" fillId="3" borderId="3" xfId="0" applyNumberFormat="1" applyFill="1" applyBorder="1"/>
    <xf numFmtId="178" fontId="0" fillId="0" borderId="0" xfId="0" applyNumberFormat="1"/>
    <xf numFmtId="0" fontId="3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21" fontId="3" fillId="3" borderId="1" xfId="0" applyNumberFormat="1" applyFont="1" applyFill="1" applyBorder="1" applyAlignment="1">
      <alignment horizontal="left" shrinkToFit="1"/>
    </xf>
    <xf numFmtId="21" fontId="3" fillId="2" borderId="1" xfId="0" applyNumberFormat="1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shrinkToFit="1"/>
    </xf>
    <xf numFmtId="0" fontId="3" fillId="3" borderId="1" xfId="0" applyFont="1" applyFill="1" applyBorder="1" applyAlignment="1">
      <alignment horizontal="left" shrinkToFi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21" fontId="3" fillId="3" borderId="1" xfId="0" applyNumberFormat="1" applyFont="1" applyFill="1" applyBorder="1" applyAlignment="1">
      <alignment horizontal="left"/>
    </xf>
    <xf numFmtId="21" fontId="3" fillId="2" borderId="1" xfId="0" applyNumberFormat="1" applyFont="1" applyFill="1" applyBorder="1" applyAlignment="1">
      <alignment horizontal="left"/>
    </xf>
    <xf numFmtId="176" fontId="3" fillId="2" borderId="1" xfId="0" applyNumberFormat="1" applyFont="1" applyFill="1" applyBorder="1"/>
    <xf numFmtId="176" fontId="3" fillId="3" borderId="1" xfId="0" applyNumberFormat="1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0" fontId="4" fillId="0" borderId="0" xfId="0" applyFont="1" applyFill="1" applyBorder="1" applyAlignment="1">
      <alignment horizontal="left" wrapText="1"/>
    </xf>
    <xf numFmtId="176" fontId="0" fillId="0" borderId="0" xfId="0" applyNumberFormat="1" applyFill="1" applyBorder="1"/>
    <xf numFmtId="176" fontId="0" fillId="0" borderId="0" xfId="0" applyNumberFormat="1" applyBorder="1"/>
    <xf numFmtId="21" fontId="0" fillId="3" borderId="0" xfId="0" applyNumberFormat="1" applyFill="1" applyBorder="1" applyAlignment="1">
      <alignment horizontal="left"/>
    </xf>
    <xf numFmtId="21" fontId="0" fillId="2" borderId="0" xfId="0" applyNumberFormat="1" applyFill="1" applyBorder="1" applyAlignment="1">
      <alignment horizontal="left"/>
    </xf>
    <xf numFmtId="176" fontId="0" fillId="2" borderId="0" xfId="0" applyNumberFormat="1" applyFill="1" applyBorder="1"/>
    <xf numFmtId="176" fontId="0" fillId="3" borderId="0" xfId="0" applyNumberFormat="1" applyFill="1" applyBorder="1"/>
    <xf numFmtId="0" fontId="0" fillId="2" borderId="0" xfId="0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/>
    </xf>
    <xf numFmtId="20" fontId="0" fillId="2" borderId="2" xfId="0" applyNumberFormat="1" applyFill="1" applyBorder="1" applyAlignment="1">
      <alignment horizontal="left"/>
    </xf>
    <xf numFmtId="20" fontId="0" fillId="2" borderId="1" xfId="0" applyNumberFormat="1" applyFill="1" applyBorder="1" applyAlignment="1">
      <alignment horizontal="left"/>
    </xf>
    <xf numFmtId="20" fontId="0" fillId="2" borderId="3" xfId="0" applyNumberFormat="1" applyFill="1" applyBorder="1" applyAlignment="1">
      <alignment horizontal="left"/>
    </xf>
    <xf numFmtId="0" fontId="0" fillId="0" borderId="4" xfId="0" applyBorder="1"/>
    <xf numFmtId="0" fontId="0" fillId="0" borderId="4" xfId="0" applyFill="1" applyBorder="1"/>
    <xf numFmtId="0" fontId="4" fillId="0" borderId="4" xfId="0" applyFont="1" applyFill="1" applyBorder="1" applyAlignment="1">
      <alignment horizontal="left" wrapText="1"/>
    </xf>
    <xf numFmtId="21" fontId="0" fillId="3" borderId="4" xfId="0" applyNumberFormat="1" applyFill="1" applyBorder="1" applyAlignment="1">
      <alignment horizontal="left"/>
    </xf>
    <xf numFmtId="21" fontId="0" fillId="2" borderId="4" xfId="0" applyNumberFormat="1" applyFill="1" applyBorder="1" applyAlignment="1">
      <alignment horizontal="left"/>
    </xf>
    <xf numFmtId="176" fontId="0" fillId="2" borderId="4" xfId="0" applyNumberFormat="1" applyFill="1" applyBorder="1"/>
    <xf numFmtId="176" fontId="0" fillId="3" borderId="4" xfId="0" applyNumberFormat="1" applyFill="1" applyBorder="1"/>
    <xf numFmtId="0" fontId="0" fillId="2" borderId="4" xfId="0" applyFill="1" applyBorder="1"/>
    <xf numFmtId="9" fontId="0" fillId="0" borderId="0" xfId="1" applyFont="1" applyBorder="1"/>
    <xf numFmtId="0" fontId="0" fillId="0" borderId="0" xfId="0" applyAlignment="1">
      <alignment shrinkToFit="1"/>
    </xf>
    <xf numFmtId="0" fontId="4" fillId="0" borderId="5" xfId="0" applyFont="1" applyFill="1" applyBorder="1" applyAlignment="1">
      <alignment horizontal="left" wrapText="1"/>
    </xf>
    <xf numFmtId="176" fontId="0" fillId="3" borderId="5" xfId="0" applyNumberFormat="1" applyFill="1" applyBorder="1"/>
    <xf numFmtId="0" fontId="0" fillId="0" borderId="6" xfId="0" applyBorder="1"/>
    <xf numFmtId="0" fontId="0" fillId="0" borderId="6" xfId="0" applyFill="1" applyBorder="1"/>
    <xf numFmtId="0" fontId="4" fillId="0" borderId="6" xfId="0" applyFont="1" applyFill="1" applyBorder="1" applyAlignment="1">
      <alignment horizontal="left" wrapText="1"/>
    </xf>
    <xf numFmtId="176" fontId="0" fillId="2" borderId="6" xfId="0" applyNumberFormat="1" applyFill="1" applyBorder="1"/>
    <xf numFmtId="176" fontId="0" fillId="3" borderId="6" xfId="0" applyNumberFormat="1" applyFill="1" applyBorder="1"/>
    <xf numFmtId="0" fontId="0" fillId="2" borderId="6" xfId="0" applyFill="1" applyBorder="1"/>
    <xf numFmtId="0" fontId="0" fillId="0" borderId="7" xfId="0" applyBorder="1"/>
    <xf numFmtId="0" fontId="0" fillId="0" borderId="7" xfId="0" applyFill="1" applyBorder="1"/>
    <xf numFmtId="0" fontId="4" fillId="0" borderId="7" xfId="0" applyFont="1" applyFill="1" applyBorder="1" applyAlignment="1">
      <alignment horizontal="left" wrapText="1"/>
    </xf>
    <xf numFmtId="176" fontId="0" fillId="2" borderId="7" xfId="0" applyNumberFormat="1" applyFill="1" applyBorder="1"/>
    <xf numFmtId="176" fontId="0" fillId="3" borderId="7" xfId="0" applyNumberFormat="1" applyFill="1" applyBorder="1"/>
    <xf numFmtId="0" fontId="0" fillId="2" borderId="7" xfId="0" applyFill="1" applyBorder="1"/>
    <xf numFmtId="21" fontId="0" fillId="3" borderId="6" xfId="0" applyNumberFormat="1" applyFill="1" applyBorder="1" applyAlignment="1">
      <alignment horizontal="left"/>
    </xf>
    <xf numFmtId="21" fontId="0" fillId="2" borderId="6" xfId="0" applyNumberFormat="1" applyFill="1" applyBorder="1" applyAlignment="1">
      <alignment horizontal="left"/>
    </xf>
    <xf numFmtId="21" fontId="0" fillId="3" borderId="7" xfId="0" applyNumberFormat="1" applyFill="1" applyBorder="1" applyAlignment="1">
      <alignment horizontal="left"/>
    </xf>
    <xf numFmtId="21" fontId="0" fillId="2" borderId="7" xfId="0" applyNumberFormat="1" applyFill="1" applyBorder="1" applyAlignment="1">
      <alignment horizontal="left"/>
    </xf>
    <xf numFmtId="177" fontId="0" fillId="0" borderId="0" xfId="0" applyNumberFormat="1"/>
    <xf numFmtId="0" fontId="0" fillId="0" borderId="5" xfId="0" applyFill="1" applyBorder="1"/>
    <xf numFmtId="21" fontId="0" fillId="3" borderId="5" xfId="0" applyNumberFormat="1" applyFill="1" applyBorder="1" applyAlignment="1">
      <alignment horizontal="left"/>
    </xf>
    <xf numFmtId="21" fontId="0" fillId="2" borderId="5" xfId="0" applyNumberFormat="1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4" fillId="0" borderId="8" xfId="0" applyFont="1" applyFill="1" applyBorder="1" applyAlignment="1">
      <alignment horizontal="left" wrapText="1"/>
    </xf>
    <xf numFmtId="21" fontId="0" fillId="3" borderId="8" xfId="0" applyNumberFormat="1" applyFill="1" applyBorder="1" applyAlignment="1">
      <alignment horizontal="left"/>
    </xf>
    <xf numFmtId="21" fontId="0" fillId="2" borderId="8" xfId="0" applyNumberFormat="1" applyFill="1" applyBorder="1" applyAlignment="1">
      <alignment horizontal="left"/>
    </xf>
    <xf numFmtId="176" fontId="0" fillId="3" borderId="8" xfId="0" applyNumberFormat="1" applyFill="1" applyBorder="1"/>
    <xf numFmtId="0" fontId="0" fillId="0" borderId="9" xfId="0" applyBorder="1"/>
    <xf numFmtId="0" fontId="0" fillId="0" borderId="9" xfId="0" applyFill="1" applyBorder="1"/>
    <xf numFmtId="0" fontId="4" fillId="0" borderId="9" xfId="0" applyFont="1" applyFill="1" applyBorder="1" applyAlignment="1">
      <alignment horizontal="left" wrapText="1"/>
    </xf>
    <xf numFmtId="21" fontId="0" fillId="3" borderId="9" xfId="0" applyNumberFormat="1" applyFill="1" applyBorder="1" applyAlignment="1">
      <alignment horizontal="left"/>
    </xf>
    <xf numFmtId="21" fontId="0" fillId="2" borderId="9" xfId="0" applyNumberFormat="1" applyFill="1" applyBorder="1" applyAlignment="1">
      <alignment horizontal="left"/>
    </xf>
    <xf numFmtId="176" fontId="0" fillId="2" borderId="9" xfId="0" applyNumberFormat="1" applyFill="1" applyBorder="1"/>
    <xf numFmtId="176" fontId="0" fillId="3" borderId="9" xfId="0" applyNumberFormat="1" applyFill="1" applyBorder="1"/>
    <xf numFmtId="1" fontId="0" fillId="2" borderId="1" xfId="0" applyNumberFormat="1" applyFill="1" applyBorder="1"/>
    <xf numFmtId="1" fontId="0" fillId="2" borderId="4" xfId="0" applyNumberFormat="1" applyFill="1" applyBorder="1"/>
    <xf numFmtId="1" fontId="0" fillId="2" borderId="2" xfId="0" applyNumberFormat="1" applyFill="1" applyBorder="1"/>
    <xf numFmtId="1" fontId="0" fillId="2" borderId="9" xfId="0" applyNumberFormat="1" applyFill="1" applyBorder="1"/>
    <xf numFmtId="1" fontId="0" fillId="2" borderId="7" xfId="0" applyNumberFormat="1" applyFill="1" applyBorder="1"/>
    <xf numFmtId="179" fontId="3" fillId="3" borderId="1" xfId="0" applyNumberFormat="1" applyFont="1" applyFill="1" applyBorder="1"/>
    <xf numFmtId="0" fontId="3" fillId="0" borderId="1" xfId="0" applyFont="1" applyFill="1" applyBorder="1" applyAlignment="1">
      <alignment shrinkToFit="1"/>
    </xf>
    <xf numFmtId="2" fontId="0" fillId="0" borderId="0" xfId="0" applyNumberFormat="1"/>
    <xf numFmtId="0" fontId="3" fillId="0" borderId="0" xfId="0" applyFont="1" applyFill="1" applyBorder="1" applyAlignment="1">
      <alignment horizontal="left" shrinkToFit="1"/>
    </xf>
    <xf numFmtId="0" fontId="3" fillId="0" borderId="0" xfId="0" applyFont="1" applyFill="1" applyBorder="1"/>
    <xf numFmtId="178" fontId="0" fillId="0" borderId="0" xfId="0" applyNumberFormat="1" applyFill="1"/>
    <xf numFmtId="2" fontId="0" fillId="0" borderId="0" xfId="0" applyNumberFormat="1" applyFill="1"/>
    <xf numFmtId="177" fontId="0" fillId="0" borderId="0" xfId="0" applyNumberFormat="1" applyFill="1"/>
  </cellXfs>
  <cellStyles count="2">
    <cellStyle name="パーセント" xfId="1" builtinId="5"/>
    <cellStyle name="標準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workbookViewId="0">
      <pane xSplit="2" ySplit="1" topLeftCell="J2" activePane="bottomRight" state="frozen"/>
      <selection pane="topRight" activeCell="C1" sqref="C1"/>
      <selection pane="bottomLeft" activeCell="A2" sqref="A2"/>
      <selection pane="bottomRight" activeCell="Z22" sqref="Z22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4.75" style="11" customWidth="1"/>
    <col min="4" max="4" width="10.25" style="12" hidden="1" customWidth="1"/>
    <col min="5" max="5" width="6.625" style="13" customWidth="1"/>
    <col min="6" max="7" width="7.625" style="13" customWidth="1"/>
    <col min="8" max="9" width="11.25" style="13" hidden="1" customWidth="1"/>
    <col min="10" max="11" width="6.625" style="13" customWidth="1"/>
    <col min="12" max="13" width="6.625" style="15" customWidth="1"/>
    <col min="14" max="27" width="6.625" customWidth="1"/>
  </cols>
  <sheetData>
    <row r="1" spans="1:29" s="1" customFormat="1">
      <c r="A1" s="31" t="s">
        <v>84</v>
      </c>
      <c r="B1" s="32" t="s">
        <v>85</v>
      </c>
      <c r="C1" s="32" t="s">
        <v>96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120</v>
      </c>
      <c r="P1" s="36" t="s">
        <v>0</v>
      </c>
      <c r="Q1" s="36" t="s">
        <v>1</v>
      </c>
      <c r="R1" s="36" t="s">
        <v>2</v>
      </c>
      <c r="S1" s="36" t="s">
        <v>3</v>
      </c>
      <c r="T1" s="36" t="s">
        <v>4</v>
      </c>
      <c r="U1" s="36" t="s">
        <v>5</v>
      </c>
      <c r="V1" s="36" t="s">
        <v>6</v>
      </c>
      <c r="W1" s="36" t="s">
        <v>7</v>
      </c>
      <c r="X1" s="36" t="s">
        <v>8</v>
      </c>
      <c r="Y1" s="36" t="s">
        <v>9</v>
      </c>
      <c r="Z1" s="35" t="s">
        <v>10</v>
      </c>
      <c r="AA1" s="35" t="s">
        <v>89</v>
      </c>
      <c r="AB1" s="1" t="s">
        <v>92</v>
      </c>
    </row>
    <row r="2" spans="1:29" s="2" customFormat="1">
      <c r="A2" s="37"/>
      <c r="B2" s="38"/>
      <c r="C2" s="38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7</v>
      </c>
      <c r="S2" s="43">
        <v>7</v>
      </c>
      <c r="T2" s="43">
        <v>4</v>
      </c>
      <c r="U2" s="43">
        <v>2</v>
      </c>
      <c r="V2" s="43">
        <v>6</v>
      </c>
      <c r="W2" s="43">
        <v>4</v>
      </c>
      <c r="X2" s="43">
        <v>3</v>
      </c>
      <c r="Y2" s="43">
        <v>5</v>
      </c>
      <c r="Z2" s="42">
        <f t="shared" ref="Z2:Z22" si="0">SUM(L2:Y2)</f>
        <v>100</v>
      </c>
      <c r="AA2" s="44"/>
    </row>
    <row r="3" spans="1:29">
      <c r="A3" s="3" t="s">
        <v>102</v>
      </c>
      <c r="B3" s="9" t="s">
        <v>17</v>
      </c>
      <c r="C3" s="9">
        <v>8</v>
      </c>
      <c r="D3" s="10" t="s">
        <v>18</v>
      </c>
      <c r="E3" s="16">
        <v>0.28541666666666698</v>
      </c>
      <c r="F3" s="16">
        <v>0.30787037037037041</v>
      </c>
      <c r="G3" s="16">
        <v>0.4777777777777778</v>
      </c>
      <c r="H3" s="4">
        <v>2.7777777777777776E-2</v>
      </c>
      <c r="I3" s="4">
        <v>0.19444444444444445</v>
      </c>
      <c r="J3" s="4">
        <f t="shared" ref="J3:J11" si="1">F3-E3</f>
        <v>2.245370370370342E-2</v>
      </c>
      <c r="K3" s="4">
        <f t="shared" ref="K3:K11" si="2">G3-E3</f>
        <v>0.19236111111111082</v>
      </c>
      <c r="L3" s="5">
        <f t="shared" ref="L3:L9" si="3">MAX(IF(J3-H3&gt;0,L$2-ROUND((J3-H3)*60*24*0.5,1),L$2),0)</f>
        <v>20</v>
      </c>
      <c r="M3" s="5">
        <v>20</v>
      </c>
      <c r="N3" s="17">
        <v>8</v>
      </c>
      <c r="O3" s="17">
        <v>1.8</v>
      </c>
      <c r="P3" s="17">
        <v>8</v>
      </c>
      <c r="Q3" s="17">
        <v>4</v>
      </c>
      <c r="R3" s="17">
        <v>6.8</v>
      </c>
      <c r="S3" s="17">
        <v>6.5</v>
      </c>
      <c r="T3" s="17">
        <v>4</v>
      </c>
      <c r="U3" s="17">
        <v>1.4</v>
      </c>
      <c r="V3" s="17">
        <v>6</v>
      </c>
      <c r="W3" s="17">
        <v>4</v>
      </c>
      <c r="X3" s="17">
        <v>3</v>
      </c>
      <c r="Y3" s="17">
        <v>5</v>
      </c>
      <c r="Z3" s="5">
        <f t="shared" si="0"/>
        <v>98.5</v>
      </c>
      <c r="AA3" s="45">
        <f t="shared" ref="AA3:AA11" si="4">RANK(Z3,Z$3:Z$11)</f>
        <v>1</v>
      </c>
    </row>
    <row r="4" spans="1:29">
      <c r="A4" s="3" t="s">
        <v>102</v>
      </c>
      <c r="B4" s="9" t="s">
        <v>11</v>
      </c>
      <c r="C4" s="9">
        <v>2</v>
      </c>
      <c r="D4" s="10" t="s">
        <v>12</v>
      </c>
      <c r="E4" s="16">
        <v>0.28194444444444444</v>
      </c>
      <c r="F4" s="16">
        <v>0.30353009259259262</v>
      </c>
      <c r="G4" s="16">
        <v>0.47361111111111115</v>
      </c>
      <c r="H4" s="4">
        <v>2.7777777777777776E-2</v>
      </c>
      <c r="I4" s="4">
        <v>0.19444444444444445</v>
      </c>
      <c r="J4" s="4">
        <f t="shared" si="1"/>
        <v>2.1585648148148173E-2</v>
      </c>
      <c r="K4" s="4">
        <f t="shared" si="2"/>
        <v>0.19166666666666671</v>
      </c>
      <c r="L4" s="5">
        <f t="shared" si="3"/>
        <v>20</v>
      </c>
      <c r="M4" s="5">
        <v>20</v>
      </c>
      <c r="N4" s="17">
        <v>8</v>
      </c>
      <c r="O4" s="17">
        <v>2</v>
      </c>
      <c r="P4" s="17">
        <v>8</v>
      </c>
      <c r="Q4" s="17">
        <v>4</v>
      </c>
      <c r="R4" s="17">
        <v>6.8</v>
      </c>
      <c r="S4" s="17">
        <v>5</v>
      </c>
      <c r="T4" s="17">
        <v>3.5</v>
      </c>
      <c r="U4" s="17">
        <v>1.6</v>
      </c>
      <c r="V4" s="17">
        <v>6</v>
      </c>
      <c r="W4" s="17">
        <v>4</v>
      </c>
      <c r="X4" s="17">
        <v>3</v>
      </c>
      <c r="Y4" s="17">
        <v>5</v>
      </c>
      <c r="Z4" s="5">
        <f t="shared" si="0"/>
        <v>96.899999999999991</v>
      </c>
      <c r="AA4" s="45">
        <f t="shared" si="4"/>
        <v>2</v>
      </c>
    </row>
    <row r="5" spans="1:29">
      <c r="A5" s="3" t="s">
        <v>102</v>
      </c>
      <c r="B5" s="9" t="s">
        <v>19</v>
      </c>
      <c r="C5" s="9">
        <v>1</v>
      </c>
      <c r="D5" s="10" t="s">
        <v>20</v>
      </c>
      <c r="E5" s="16">
        <v>0.28125</v>
      </c>
      <c r="F5" s="16">
        <v>0.30621527777777779</v>
      </c>
      <c r="G5" s="16">
        <v>0.50416666666666665</v>
      </c>
      <c r="H5" s="4">
        <v>2.7777777777777776E-2</v>
      </c>
      <c r="I5" s="4">
        <v>0.19444444444444445</v>
      </c>
      <c r="J5" s="4">
        <f t="shared" si="1"/>
        <v>2.4965277777777795E-2</v>
      </c>
      <c r="K5" s="4">
        <f t="shared" si="2"/>
        <v>0.22291666666666665</v>
      </c>
      <c r="L5" s="5">
        <f t="shared" si="3"/>
        <v>20</v>
      </c>
      <c r="M5" s="5">
        <v>20</v>
      </c>
      <c r="N5" s="17">
        <v>8</v>
      </c>
      <c r="O5" s="17">
        <v>2</v>
      </c>
      <c r="P5" s="17">
        <v>8</v>
      </c>
      <c r="Q5" s="17">
        <v>4</v>
      </c>
      <c r="R5" s="17">
        <v>5.3</v>
      </c>
      <c r="S5" s="17">
        <v>4</v>
      </c>
      <c r="T5" s="17">
        <v>3</v>
      </c>
      <c r="U5" s="17">
        <v>1.8</v>
      </c>
      <c r="V5" s="17">
        <v>5.6</v>
      </c>
      <c r="W5" s="17">
        <v>2.5</v>
      </c>
      <c r="X5" s="17">
        <v>3</v>
      </c>
      <c r="Y5" s="17">
        <v>5</v>
      </c>
      <c r="Z5" s="5">
        <f>SUM(L5:Y5)</f>
        <v>92.199999999999989</v>
      </c>
      <c r="AA5" s="45">
        <f t="shared" si="4"/>
        <v>3</v>
      </c>
    </row>
    <row r="6" spans="1:29">
      <c r="A6" s="3" t="s">
        <v>102</v>
      </c>
      <c r="B6" s="9" t="s">
        <v>25</v>
      </c>
      <c r="C6" s="9">
        <v>5</v>
      </c>
      <c r="D6" s="10" t="s">
        <v>26</v>
      </c>
      <c r="E6" s="16">
        <v>0.28402777777777799</v>
      </c>
      <c r="F6" s="16">
        <v>0.30976851851851855</v>
      </c>
      <c r="G6" s="16">
        <v>0.48472222222222222</v>
      </c>
      <c r="H6" s="4">
        <v>2.7777777777777776E-2</v>
      </c>
      <c r="I6" s="4">
        <v>0.19444444444444445</v>
      </c>
      <c r="J6" s="4">
        <f t="shared" si="1"/>
        <v>2.5740740740740564E-2</v>
      </c>
      <c r="K6" s="4">
        <f t="shared" si="2"/>
        <v>0.20069444444444423</v>
      </c>
      <c r="L6" s="5">
        <f t="shared" si="3"/>
        <v>20</v>
      </c>
      <c r="M6" s="5">
        <v>20</v>
      </c>
      <c r="N6" s="17">
        <v>8</v>
      </c>
      <c r="O6" s="17">
        <v>2</v>
      </c>
      <c r="P6" s="17">
        <v>7.9</v>
      </c>
      <c r="Q6" s="17">
        <v>4</v>
      </c>
      <c r="R6" s="17">
        <v>2.4</v>
      </c>
      <c r="S6" s="17">
        <v>3</v>
      </c>
      <c r="T6" s="17">
        <v>1.5</v>
      </c>
      <c r="U6" s="17">
        <v>1.4</v>
      </c>
      <c r="V6" s="17">
        <v>5.8</v>
      </c>
      <c r="W6" s="17">
        <v>2.6</v>
      </c>
      <c r="X6" s="17">
        <v>2.5</v>
      </c>
      <c r="Y6" s="17">
        <v>5</v>
      </c>
      <c r="Z6" s="5">
        <f t="shared" si="0"/>
        <v>86.1</v>
      </c>
      <c r="AA6" s="45">
        <f t="shared" si="4"/>
        <v>4</v>
      </c>
    </row>
    <row r="7" spans="1:29">
      <c r="A7" s="3" t="s">
        <v>102</v>
      </c>
      <c r="B7" s="9" t="s">
        <v>80</v>
      </c>
      <c r="C7" s="9">
        <v>6</v>
      </c>
      <c r="D7" s="10" t="s">
        <v>81</v>
      </c>
      <c r="E7" s="16">
        <v>0.28472222222222199</v>
      </c>
      <c r="F7" s="16">
        <v>0.30717592592592591</v>
      </c>
      <c r="G7" s="16">
        <v>0.46597222222222223</v>
      </c>
      <c r="H7" s="4">
        <v>2.7777777777777776E-2</v>
      </c>
      <c r="I7" s="4">
        <v>0.19444444444444445</v>
      </c>
      <c r="J7" s="4">
        <f t="shared" si="1"/>
        <v>2.245370370370392E-2</v>
      </c>
      <c r="K7" s="4">
        <f t="shared" si="2"/>
        <v>0.18125000000000024</v>
      </c>
      <c r="L7" s="5">
        <f t="shared" si="3"/>
        <v>20</v>
      </c>
      <c r="M7" s="5">
        <v>20</v>
      </c>
      <c r="N7" s="17">
        <v>7.8</v>
      </c>
      <c r="O7" s="17">
        <v>2</v>
      </c>
      <c r="P7" s="17">
        <v>7.5</v>
      </c>
      <c r="Q7" s="17">
        <v>4</v>
      </c>
      <c r="R7" s="17">
        <v>2.2000000000000002</v>
      </c>
      <c r="S7" s="17">
        <v>3</v>
      </c>
      <c r="T7" s="17">
        <v>2</v>
      </c>
      <c r="U7" s="17">
        <v>1.6</v>
      </c>
      <c r="V7" s="17">
        <v>5.8</v>
      </c>
      <c r="W7" s="17">
        <v>1.8</v>
      </c>
      <c r="X7" s="17">
        <v>3</v>
      </c>
      <c r="Y7" s="17">
        <v>4.5</v>
      </c>
      <c r="Z7" s="5">
        <f t="shared" si="0"/>
        <v>85.199999999999989</v>
      </c>
      <c r="AA7" s="45">
        <f t="shared" si="4"/>
        <v>5</v>
      </c>
    </row>
    <row r="8" spans="1:29">
      <c r="A8" s="3" t="s">
        <v>102</v>
      </c>
      <c r="B8" s="9" t="s">
        <v>23</v>
      </c>
      <c r="C8" s="9">
        <v>10</v>
      </c>
      <c r="D8" s="10" t="s">
        <v>24</v>
      </c>
      <c r="E8" s="16">
        <v>0.28680555555555598</v>
      </c>
      <c r="F8" s="16">
        <v>0.31284722222222222</v>
      </c>
      <c r="G8" s="16">
        <v>0.48958333333333331</v>
      </c>
      <c r="H8" s="4">
        <v>2.7777777777777776E-2</v>
      </c>
      <c r="I8" s="4">
        <v>0.19444444444444445</v>
      </c>
      <c r="J8" s="4">
        <f>F8-E8</f>
        <v>2.6041666666666241E-2</v>
      </c>
      <c r="K8" s="4">
        <f>G8-E8</f>
        <v>0.20277777777777733</v>
      </c>
      <c r="L8" s="5">
        <f t="shared" si="3"/>
        <v>20</v>
      </c>
      <c r="M8" s="5">
        <v>20</v>
      </c>
      <c r="N8" s="17">
        <v>6.9</v>
      </c>
      <c r="O8" s="17">
        <v>1.8</v>
      </c>
      <c r="P8" s="17">
        <v>7.1</v>
      </c>
      <c r="Q8" s="17">
        <v>3.1</v>
      </c>
      <c r="R8" s="17">
        <v>5.6</v>
      </c>
      <c r="S8" s="17">
        <v>2</v>
      </c>
      <c r="T8" s="17">
        <v>1.5</v>
      </c>
      <c r="U8" s="17">
        <v>1.4</v>
      </c>
      <c r="V8" s="17">
        <v>5.4</v>
      </c>
      <c r="W8" s="17">
        <v>1.8</v>
      </c>
      <c r="X8" s="17">
        <v>3</v>
      </c>
      <c r="Y8" s="17">
        <v>5</v>
      </c>
      <c r="Z8" s="5">
        <f t="shared" si="0"/>
        <v>84.600000000000009</v>
      </c>
      <c r="AA8" s="45">
        <f t="shared" si="4"/>
        <v>6</v>
      </c>
    </row>
    <row r="9" spans="1:29">
      <c r="A9" s="3" t="s">
        <v>102</v>
      </c>
      <c r="B9" s="9" t="s">
        <v>13</v>
      </c>
      <c r="C9" s="9">
        <v>3</v>
      </c>
      <c r="D9" s="10" t="s">
        <v>14</v>
      </c>
      <c r="E9" s="16">
        <v>0.28263888888888899</v>
      </c>
      <c r="F9" s="16">
        <v>0.30842592592592594</v>
      </c>
      <c r="G9" s="16">
        <v>0.47638888888888892</v>
      </c>
      <c r="H9" s="4">
        <v>2.7777777777777776E-2</v>
      </c>
      <c r="I9" s="4">
        <v>0.19444444444444445</v>
      </c>
      <c r="J9" s="4">
        <f t="shared" si="1"/>
        <v>2.5787037037036942E-2</v>
      </c>
      <c r="K9" s="4">
        <f t="shared" si="2"/>
        <v>0.19374999999999992</v>
      </c>
      <c r="L9" s="5">
        <f t="shared" si="3"/>
        <v>20</v>
      </c>
      <c r="M9" s="5">
        <v>20</v>
      </c>
      <c r="N9" s="17">
        <v>6.4</v>
      </c>
      <c r="O9" s="17">
        <v>2</v>
      </c>
      <c r="P9" s="17">
        <v>5.5</v>
      </c>
      <c r="Q9" s="17">
        <v>4</v>
      </c>
      <c r="R9" s="17">
        <v>2.8</v>
      </c>
      <c r="S9" s="17">
        <v>1.5</v>
      </c>
      <c r="T9" s="17">
        <v>1</v>
      </c>
      <c r="U9" s="17">
        <v>1.8</v>
      </c>
      <c r="V9" s="17">
        <v>5.5</v>
      </c>
      <c r="W9" s="17">
        <v>2.5</v>
      </c>
      <c r="X9" s="17">
        <v>3</v>
      </c>
      <c r="Y9" s="17">
        <v>5</v>
      </c>
      <c r="Z9" s="5">
        <f t="shared" si="0"/>
        <v>81</v>
      </c>
      <c r="AA9" s="45">
        <f t="shared" si="4"/>
        <v>7</v>
      </c>
    </row>
    <row r="10" spans="1:29">
      <c r="A10" s="3" t="s">
        <v>102</v>
      </c>
      <c r="B10" s="9" t="s">
        <v>37</v>
      </c>
      <c r="C10" s="9">
        <v>4</v>
      </c>
      <c r="D10" s="10" t="s">
        <v>38</v>
      </c>
      <c r="E10" s="16">
        <v>0.28333333333333299</v>
      </c>
      <c r="F10" s="16">
        <v>0.31365740740740738</v>
      </c>
      <c r="G10" s="16">
        <v>0.48055555555555557</v>
      </c>
      <c r="H10" s="4">
        <v>2.7777777777777776E-2</v>
      </c>
      <c r="I10" s="4">
        <v>0.19444444444444445</v>
      </c>
      <c r="J10" s="4">
        <f t="shared" ref="J10:J22" si="5">F10-E10</f>
        <v>3.0324074074074392E-2</v>
      </c>
      <c r="K10" s="4">
        <f t="shared" ref="K10:K22" si="6">G10-E10</f>
        <v>0.19722222222222258</v>
      </c>
      <c r="L10" s="5">
        <f t="shared" ref="L10:L22" si="7">MAX(IF(J10-H10&gt;0,L$2-ROUND((J10-H10)*60*24*0.5,1),L$2),0)</f>
        <v>18.2</v>
      </c>
      <c r="M10" s="5">
        <v>20</v>
      </c>
      <c r="N10" s="17">
        <v>4.5999999999999996</v>
      </c>
      <c r="O10" s="17">
        <v>1.6</v>
      </c>
      <c r="P10" s="17">
        <v>6.9</v>
      </c>
      <c r="Q10" s="17">
        <v>3.1</v>
      </c>
      <c r="R10" s="17">
        <v>3.3</v>
      </c>
      <c r="S10" s="17">
        <v>2.5</v>
      </c>
      <c r="T10" s="17">
        <v>1.5</v>
      </c>
      <c r="U10" s="17">
        <v>1.4</v>
      </c>
      <c r="V10" s="17">
        <v>5.3</v>
      </c>
      <c r="W10" s="17">
        <v>1</v>
      </c>
      <c r="X10" s="17">
        <v>2</v>
      </c>
      <c r="Y10" s="17">
        <v>5</v>
      </c>
      <c r="Z10" s="5">
        <f t="shared" si="0"/>
        <v>76.400000000000006</v>
      </c>
      <c r="AA10" s="45">
        <f t="shared" si="4"/>
        <v>8</v>
      </c>
    </row>
    <row r="11" spans="1:29" ht="14.25" thickBot="1">
      <c r="A11" s="47" t="s">
        <v>102</v>
      </c>
      <c r="B11" s="24" t="s">
        <v>31</v>
      </c>
      <c r="C11" s="24">
        <v>9</v>
      </c>
      <c r="D11" s="59" t="s">
        <v>103</v>
      </c>
      <c r="E11" s="26">
        <v>0.28611111111111098</v>
      </c>
      <c r="F11" s="26">
        <v>0.31231481481481482</v>
      </c>
      <c r="G11" s="26">
        <v>0.47847222222222219</v>
      </c>
      <c r="H11" s="27">
        <v>2.7777777777777776E-2</v>
      </c>
      <c r="I11" s="27">
        <v>0.19444444444444445</v>
      </c>
      <c r="J11" s="27">
        <f t="shared" si="1"/>
        <v>2.620370370370384E-2</v>
      </c>
      <c r="K11" s="27">
        <f t="shared" si="2"/>
        <v>0.1923611111111112</v>
      </c>
      <c r="L11" s="28">
        <f>MAX(IF(J11-H11&gt;0,L$2-ROUND((J11-H11)*60*24*0.5,1),L$2),0)</f>
        <v>20</v>
      </c>
      <c r="M11" s="28">
        <v>20</v>
      </c>
      <c r="N11" s="29">
        <v>6.8</v>
      </c>
      <c r="O11" s="29">
        <v>1.8</v>
      </c>
      <c r="P11" s="29">
        <v>3.1</v>
      </c>
      <c r="Q11" s="29">
        <v>4</v>
      </c>
      <c r="R11" s="29">
        <v>1.6</v>
      </c>
      <c r="S11" s="29">
        <v>0</v>
      </c>
      <c r="T11" s="29">
        <v>2</v>
      </c>
      <c r="U11" s="29">
        <v>0.8</v>
      </c>
      <c r="V11" s="29">
        <v>5.8</v>
      </c>
      <c r="W11" s="29">
        <v>1</v>
      </c>
      <c r="X11" s="29">
        <v>2</v>
      </c>
      <c r="Y11" s="29">
        <v>4.5</v>
      </c>
      <c r="Z11" s="28">
        <f t="shared" si="0"/>
        <v>73.399999999999991</v>
      </c>
      <c r="AA11" s="48">
        <f t="shared" si="4"/>
        <v>9</v>
      </c>
      <c r="AC11" s="30"/>
    </row>
    <row r="12" spans="1:29" ht="14.25" thickTop="1">
      <c r="A12" s="8" t="s">
        <v>104</v>
      </c>
      <c r="B12" s="18" t="s">
        <v>106</v>
      </c>
      <c r="C12" s="18">
        <v>13</v>
      </c>
      <c r="D12" s="19" t="s">
        <v>12</v>
      </c>
      <c r="E12" s="20">
        <v>0.28888888888888897</v>
      </c>
      <c r="F12" s="20">
        <v>0.31103009259259257</v>
      </c>
      <c r="G12" s="20">
        <v>0.4826388888888889</v>
      </c>
      <c r="H12" s="21">
        <v>2.7777777777777776E-2</v>
      </c>
      <c r="I12" s="21">
        <v>0.19444444444444445</v>
      </c>
      <c r="J12" s="21">
        <f t="shared" si="5"/>
        <v>2.2141203703703594E-2</v>
      </c>
      <c r="K12" s="21">
        <f t="shared" si="6"/>
        <v>0.19374999999999992</v>
      </c>
      <c r="L12" s="22">
        <f t="shared" si="7"/>
        <v>20</v>
      </c>
      <c r="M12" s="22">
        <v>20</v>
      </c>
      <c r="N12" s="23">
        <v>8</v>
      </c>
      <c r="O12" s="23">
        <v>2</v>
      </c>
      <c r="P12" s="23">
        <v>8</v>
      </c>
      <c r="Q12" s="23">
        <v>4</v>
      </c>
      <c r="R12" s="23">
        <v>5.8</v>
      </c>
      <c r="S12" s="23">
        <v>6</v>
      </c>
      <c r="T12" s="23">
        <v>4</v>
      </c>
      <c r="U12" s="23">
        <v>1.8</v>
      </c>
      <c r="V12" s="23">
        <v>6</v>
      </c>
      <c r="W12" s="23">
        <v>3.8</v>
      </c>
      <c r="X12" s="23">
        <v>3</v>
      </c>
      <c r="Y12" s="23">
        <v>5</v>
      </c>
      <c r="Z12" s="22">
        <f t="shared" si="0"/>
        <v>97.399999999999991</v>
      </c>
      <c r="AA12" s="46">
        <f t="shared" ref="AA12:AA17" si="8">RANK(Z12,Z$12:Z$17)</f>
        <v>1</v>
      </c>
    </row>
    <row r="13" spans="1:29">
      <c r="A13" s="3" t="s">
        <v>104</v>
      </c>
      <c r="B13" s="9" t="s">
        <v>17</v>
      </c>
      <c r="C13" s="9">
        <v>11</v>
      </c>
      <c r="D13" s="10" t="s">
        <v>18</v>
      </c>
      <c r="E13" s="16">
        <v>0.28749999999999998</v>
      </c>
      <c r="F13" s="16">
        <v>0.30855324074074075</v>
      </c>
      <c r="G13" s="16">
        <v>0.47986111111111113</v>
      </c>
      <c r="H13" s="4">
        <v>2.7777777777777776E-2</v>
      </c>
      <c r="I13" s="4">
        <v>0.19444444444444445</v>
      </c>
      <c r="J13" s="4">
        <f t="shared" si="5"/>
        <v>2.1053240740740775E-2</v>
      </c>
      <c r="K13" s="4">
        <f t="shared" si="6"/>
        <v>0.19236111111111115</v>
      </c>
      <c r="L13" s="5">
        <f t="shared" si="7"/>
        <v>20</v>
      </c>
      <c r="M13" s="5">
        <v>20</v>
      </c>
      <c r="N13" s="17">
        <v>8</v>
      </c>
      <c r="O13" s="17">
        <v>2</v>
      </c>
      <c r="P13" s="17">
        <v>8</v>
      </c>
      <c r="Q13" s="17">
        <v>4</v>
      </c>
      <c r="R13" s="17">
        <v>5</v>
      </c>
      <c r="S13" s="17">
        <v>5.5</v>
      </c>
      <c r="T13" s="17">
        <v>4</v>
      </c>
      <c r="U13" s="17">
        <v>1.6</v>
      </c>
      <c r="V13" s="17">
        <v>6</v>
      </c>
      <c r="W13" s="17">
        <v>3.6</v>
      </c>
      <c r="X13" s="17">
        <v>3</v>
      </c>
      <c r="Y13" s="17">
        <v>5</v>
      </c>
      <c r="Z13" s="5">
        <f t="shared" si="0"/>
        <v>95.699999999999989</v>
      </c>
      <c r="AA13" s="45">
        <f t="shared" si="8"/>
        <v>2</v>
      </c>
    </row>
    <row r="14" spans="1:29">
      <c r="A14" s="3" t="s">
        <v>104</v>
      </c>
      <c r="B14" s="9" t="s">
        <v>107</v>
      </c>
      <c r="C14" s="9">
        <v>15</v>
      </c>
      <c r="D14" s="10" t="s">
        <v>12</v>
      </c>
      <c r="E14" s="16">
        <v>0.28958333333333303</v>
      </c>
      <c r="F14" s="16">
        <v>0.31206018518518519</v>
      </c>
      <c r="G14" s="16">
        <v>0.48333333333333334</v>
      </c>
      <c r="H14" s="4">
        <v>2.7777777777777776E-2</v>
      </c>
      <c r="I14" s="4">
        <v>0.19444444444444445</v>
      </c>
      <c r="J14" s="4">
        <f t="shared" si="5"/>
        <v>2.2476851851852164E-2</v>
      </c>
      <c r="K14" s="4">
        <f t="shared" si="6"/>
        <v>0.19375000000000031</v>
      </c>
      <c r="L14" s="5">
        <f t="shared" si="7"/>
        <v>20</v>
      </c>
      <c r="M14" s="5">
        <v>20</v>
      </c>
      <c r="N14" s="17">
        <v>8</v>
      </c>
      <c r="O14" s="17">
        <v>2</v>
      </c>
      <c r="P14" s="17">
        <v>7</v>
      </c>
      <c r="Q14" s="17">
        <v>4</v>
      </c>
      <c r="R14" s="17">
        <v>6.4</v>
      </c>
      <c r="S14" s="17">
        <v>4.5</v>
      </c>
      <c r="T14" s="17">
        <v>4</v>
      </c>
      <c r="U14" s="17">
        <v>1.8</v>
      </c>
      <c r="V14" s="17">
        <v>5.8</v>
      </c>
      <c r="W14" s="17">
        <v>4</v>
      </c>
      <c r="X14" s="17">
        <v>3</v>
      </c>
      <c r="Y14" s="17">
        <v>5</v>
      </c>
      <c r="Z14" s="5">
        <f t="shared" si="0"/>
        <v>95.5</v>
      </c>
      <c r="AA14" s="45">
        <f t="shared" si="8"/>
        <v>3</v>
      </c>
    </row>
    <row r="15" spans="1:29">
      <c r="A15" s="3" t="s">
        <v>104</v>
      </c>
      <c r="B15" s="9" t="s">
        <v>108</v>
      </c>
      <c r="C15" s="9">
        <v>16</v>
      </c>
      <c r="D15" s="10" t="s">
        <v>41</v>
      </c>
      <c r="E15" s="16">
        <v>0.29027777777777802</v>
      </c>
      <c r="F15" s="16">
        <v>0.31276620370370373</v>
      </c>
      <c r="G15" s="16">
        <v>0.46250000000000002</v>
      </c>
      <c r="H15" s="4">
        <v>2.7777777777777776E-2</v>
      </c>
      <c r="I15" s="4">
        <v>0.19444444444444445</v>
      </c>
      <c r="J15" s="4">
        <f t="shared" si="5"/>
        <v>2.2488425925925704E-2</v>
      </c>
      <c r="K15" s="4">
        <f t="shared" si="6"/>
        <v>0.172222222222222</v>
      </c>
      <c r="L15" s="5">
        <f t="shared" si="7"/>
        <v>20</v>
      </c>
      <c r="M15" s="5">
        <v>20</v>
      </c>
      <c r="N15" s="17">
        <v>7.5</v>
      </c>
      <c r="O15" s="17">
        <v>2</v>
      </c>
      <c r="P15" s="17">
        <v>7</v>
      </c>
      <c r="Q15" s="17">
        <v>3.7</v>
      </c>
      <c r="R15" s="17">
        <v>6.2</v>
      </c>
      <c r="S15" s="17">
        <v>5</v>
      </c>
      <c r="T15" s="17">
        <v>3.5</v>
      </c>
      <c r="U15" s="17">
        <v>2</v>
      </c>
      <c r="V15" s="17">
        <v>6</v>
      </c>
      <c r="W15" s="17">
        <v>2.8</v>
      </c>
      <c r="X15" s="17">
        <v>2</v>
      </c>
      <c r="Y15" s="17">
        <v>5</v>
      </c>
      <c r="Z15" s="5">
        <f t="shared" si="0"/>
        <v>92.7</v>
      </c>
      <c r="AA15" s="45">
        <f t="shared" si="8"/>
        <v>4</v>
      </c>
    </row>
    <row r="16" spans="1:29">
      <c r="A16" s="3" t="s">
        <v>104</v>
      </c>
      <c r="B16" s="9" t="s">
        <v>42</v>
      </c>
      <c r="C16" s="9">
        <v>17</v>
      </c>
      <c r="D16" s="10" t="s">
        <v>41</v>
      </c>
      <c r="E16" s="16">
        <v>0.29097222222222202</v>
      </c>
      <c r="F16" s="16">
        <v>0.31671296296296297</v>
      </c>
      <c r="G16" s="16">
        <v>0.47569444444444442</v>
      </c>
      <c r="H16" s="4">
        <v>2.7777777777777776E-2</v>
      </c>
      <c r="I16" s="4">
        <v>0.19444444444444445</v>
      </c>
      <c r="J16" s="4">
        <f t="shared" si="5"/>
        <v>2.5740740740740953E-2</v>
      </c>
      <c r="K16" s="4">
        <f t="shared" si="6"/>
        <v>0.1847222222222224</v>
      </c>
      <c r="L16" s="5">
        <f t="shared" si="7"/>
        <v>20</v>
      </c>
      <c r="M16" s="5">
        <v>20</v>
      </c>
      <c r="N16" s="17">
        <v>7.5</v>
      </c>
      <c r="O16" s="17">
        <v>1.8</v>
      </c>
      <c r="P16" s="17">
        <v>7</v>
      </c>
      <c r="Q16" s="17">
        <v>4</v>
      </c>
      <c r="R16" s="17">
        <v>5.3</v>
      </c>
      <c r="S16" s="17">
        <v>2</v>
      </c>
      <c r="T16" s="17">
        <v>3</v>
      </c>
      <c r="U16" s="17">
        <v>1.2</v>
      </c>
      <c r="V16" s="17">
        <v>6</v>
      </c>
      <c r="W16" s="17">
        <v>1.5</v>
      </c>
      <c r="X16" s="17">
        <v>2</v>
      </c>
      <c r="Y16" s="17">
        <v>5</v>
      </c>
      <c r="Z16" s="5">
        <f t="shared" si="0"/>
        <v>86.3</v>
      </c>
      <c r="AA16" s="45">
        <f t="shared" si="8"/>
        <v>5</v>
      </c>
    </row>
    <row r="17" spans="1:27" ht="14.25" thickBot="1">
      <c r="A17" s="47" t="s">
        <v>104</v>
      </c>
      <c r="B17" s="24" t="s">
        <v>105</v>
      </c>
      <c r="C17" s="24">
        <v>12</v>
      </c>
      <c r="D17" s="25" t="s">
        <v>34</v>
      </c>
      <c r="E17" s="26">
        <v>0.28819444444444398</v>
      </c>
      <c r="F17" s="26">
        <v>0.31952546296296297</v>
      </c>
      <c r="G17" s="26">
        <v>0.50902777777777775</v>
      </c>
      <c r="H17" s="27">
        <v>2.7777777777777776E-2</v>
      </c>
      <c r="I17" s="27">
        <v>0.19444444444444445</v>
      </c>
      <c r="J17" s="27">
        <f t="shared" si="5"/>
        <v>3.1331018518518994E-2</v>
      </c>
      <c r="K17" s="27">
        <f t="shared" si="6"/>
        <v>0.22083333333333377</v>
      </c>
      <c r="L17" s="28">
        <f t="shared" si="7"/>
        <v>17.399999999999999</v>
      </c>
      <c r="M17" s="28">
        <v>20</v>
      </c>
      <c r="N17" s="29">
        <v>4.0999999999999996</v>
      </c>
      <c r="O17" s="29">
        <v>1.4</v>
      </c>
      <c r="P17" s="29">
        <v>3.5</v>
      </c>
      <c r="Q17" s="29">
        <v>3.9</v>
      </c>
      <c r="R17" s="29">
        <v>4.4000000000000004</v>
      </c>
      <c r="S17" s="29">
        <v>0.5</v>
      </c>
      <c r="T17" s="29">
        <v>0.5</v>
      </c>
      <c r="U17" s="29">
        <v>1.2</v>
      </c>
      <c r="V17" s="29">
        <v>4.8</v>
      </c>
      <c r="W17" s="29">
        <v>2.5</v>
      </c>
      <c r="X17" s="29">
        <v>3</v>
      </c>
      <c r="Y17" s="29">
        <v>5</v>
      </c>
      <c r="Z17" s="28">
        <f t="shared" si="0"/>
        <v>72.199999999999989</v>
      </c>
      <c r="AA17" s="48">
        <f t="shared" si="8"/>
        <v>6</v>
      </c>
    </row>
    <row r="18" spans="1:27" ht="14.25" thickTop="1">
      <c r="A18" s="8" t="s">
        <v>109</v>
      </c>
      <c r="B18" s="18" t="s">
        <v>47</v>
      </c>
      <c r="C18" s="18">
        <v>22</v>
      </c>
      <c r="D18" s="19" t="s">
        <v>48</v>
      </c>
      <c r="E18" s="20">
        <v>0.29236111111111102</v>
      </c>
      <c r="F18" s="20">
        <v>0.31912037037037039</v>
      </c>
      <c r="G18" s="20">
        <v>0.49861111111111112</v>
      </c>
      <c r="H18" s="21">
        <v>3.4722222222222224E-2</v>
      </c>
      <c r="I18" s="21">
        <v>0.20833333333333334</v>
      </c>
      <c r="J18" s="21">
        <f t="shared" si="5"/>
        <v>2.6759259259259371E-2</v>
      </c>
      <c r="K18" s="21">
        <f t="shared" si="6"/>
        <v>0.2062500000000001</v>
      </c>
      <c r="L18" s="22">
        <f t="shared" si="7"/>
        <v>20</v>
      </c>
      <c r="M18" s="22">
        <v>20</v>
      </c>
      <c r="N18" s="23">
        <v>8</v>
      </c>
      <c r="O18" s="23">
        <v>2</v>
      </c>
      <c r="P18" s="23">
        <v>8</v>
      </c>
      <c r="Q18" s="23">
        <v>4</v>
      </c>
      <c r="R18" s="23">
        <v>6.4</v>
      </c>
      <c r="S18" s="23">
        <v>6</v>
      </c>
      <c r="T18" s="23">
        <v>4</v>
      </c>
      <c r="U18" s="23">
        <v>2</v>
      </c>
      <c r="V18" s="23">
        <v>6</v>
      </c>
      <c r="W18" s="23">
        <v>4</v>
      </c>
      <c r="X18" s="23">
        <v>3</v>
      </c>
      <c r="Y18" s="23">
        <v>5</v>
      </c>
      <c r="Z18" s="22">
        <f t="shared" si="0"/>
        <v>98.4</v>
      </c>
      <c r="AA18" s="46">
        <f>RANK(Z18,Z$18:Z$21)</f>
        <v>1</v>
      </c>
    </row>
    <row r="19" spans="1:27">
      <c r="A19" s="3" t="s">
        <v>109</v>
      </c>
      <c r="B19" s="9" t="s">
        <v>27</v>
      </c>
      <c r="C19" s="9">
        <v>25</v>
      </c>
      <c r="D19" s="10" t="s">
        <v>49</v>
      </c>
      <c r="E19" s="16">
        <v>0.29375000000000001</v>
      </c>
      <c r="F19" s="16">
        <v>0.32596064814814812</v>
      </c>
      <c r="G19" s="16">
        <v>0.51666666666666672</v>
      </c>
      <c r="H19" s="4">
        <v>3.4722222222222224E-2</v>
      </c>
      <c r="I19" s="4">
        <v>0.20833333333333334</v>
      </c>
      <c r="J19" s="4">
        <f t="shared" si="5"/>
        <v>3.2210648148148113E-2</v>
      </c>
      <c r="K19" s="4">
        <f t="shared" si="6"/>
        <v>0.22291666666666671</v>
      </c>
      <c r="L19" s="5">
        <f t="shared" si="7"/>
        <v>20</v>
      </c>
      <c r="M19" s="5">
        <v>20</v>
      </c>
      <c r="N19" s="17">
        <v>8</v>
      </c>
      <c r="O19" s="17">
        <v>2</v>
      </c>
      <c r="P19" s="17">
        <v>8</v>
      </c>
      <c r="Q19" s="17">
        <v>4</v>
      </c>
      <c r="R19" s="17">
        <v>6.4</v>
      </c>
      <c r="S19" s="17">
        <v>4</v>
      </c>
      <c r="T19" s="17">
        <v>3</v>
      </c>
      <c r="U19" s="17">
        <v>1.8</v>
      </c>
      <c r="V19" s="17">
        <v>6</v>
      </c>
      <c r="W19" s="17">
        <v>3.8</v>
      </c>
      <c r="X19" s="17">
        <v>3</v>
      </c>
      <c r="Y19" s="17">
        <v>5</v>
      </c>
      <c r="Z19" s="5">
        <f t="shared" si="0"/>
        <v>95</v>
      </c>
      <c r="AA19" s="45">
        <f>RANK(Z19,Z$18:Z$21)</f>
        <v>2</v>
      </c>
    </row>
    <row r="20" spans="1:27">
      <c r="A20" s="3" t="s">
        <v>109</v>
      </c>
      <c r="B20" s="9" t="s">
        <v>35</v>
      </c>
      <c r="C20" s="9">
        <v>21</v>
      </c>
      <c r="D20" s="10" t="s">
        <v>36</v>
      </c>
      <c r="E20" s="16">
        <v>0.29166666666666702</v>
      </c>
      <c r="F20" s="16">
        <v>0.32921296296296299</v>
      </c>
      <c r="G20" s="16">
        <v>0.54791666666666672</v>
      </c>
      <c r="H20" s="4">
        <v>3.4722222222222224E-2</v>
      </c>
      <c r="I20" s="4">
        <v>0.20833333333333334</v>
      </c>
      <c r="J20" s="4">
        <f>F20-E20</f>
        <v>3.7546296296295967E-2</v>
      </c>
      <c r="K20" s="4">
        <f>G20-E20</f>
        <v>0.2562499999999997</v>
      </c>
      <c r="L20" s="5">
        <f>MAX(IF(J20-H20&gt;0,L$2-ROUND((J20-H20)*60*24*0.5,1),L$2),0)</f>
        <v>18</v>
      </c>
      <c r="M20" s="5">
        <v>20</v>
      </c>
      <c r="N20" s="17">
        <v>6.5</v>
      </c>
      <c r="O20" s="17">
        <v>1.8</v>
      </c>
      <c r="P20" s="17">
        <v>7</v>
      </c>
      <c r="Q20" s="17">
        <v>3.5</v>
      </c>
      <c r="R20" s="17">
        <v>4.3</v>
      </c>
      <c r="S20" s="17">
        <v>2</v>
      </c>
      <c r="T20" s="17">
        <v>2.5</v>
      </c>
      <c r="U20" s="17">
        <v>1.4</v>
      </c>
      <c r="V20" s="17">
        <v>4.8</v>
      </c>
      <c r="W20" s="17">
        <v>1.8</v>
      </c>
      <c r="X20" s="17">
        <v>3</v>
      </c>
      <c r="Y20" s="17">
        <v>5</v>
      </c>
      <c r="Z20" s="5">
        <f t="shared" si="0"/>
        <v>81.599999999999994</v>
      </c>
      <c r="AA20" s="45">
        <f>RANK(Z20,Z$18:Z$21)</f>
        <v>3</v>
      </c>
    </row>
    <row r="21" spans="1:27" ht="14.25" thickBot="1">
      <c r="A21" s="47" t="s">
        <v>109</v>
      </c>
      <c r="B21" s="24" t="s">
        <v>60</v>
      </c>
      <c r="C21" s="24">
        <v>23</v>
      </c>
      <c r="D21" s="25" t="s">
        <v>61</v>
      </c>
      <c r="E21" s="26">
        <v>0.29305555555555601</v>
      </c>
      <c r="F21" s="26">
        <v>0.33259259259259261</v>
      </c>
      <c r="G21" s="26">
        <v>0.54583333333333328</v>
      </c>
      <c r="H21" s="27">
        <v>3.4722222222222224E-2</v>
      </c>
      <c r="I21" s="27">
        <v>0.20833333333333334</v>
      </c>
      <c r="J21" s="27">
        <f>F21-E21</f>
        <v>3.9537037037036593E-2</v>
      </c>
      <c r="K21" s="27">
        <f>G21-E21</f>
        <v>0.25277777777777727</v>
      </c>
      <c r="L21" s="28">
        <f>MAX(IF(J21-H21&gt;0,L$2-ROUND((J21-H21)*60*24*0.5,1),L$2),0)</f>
        <v>16.5</v>
      </c>
      <c r="M21" s="28">
        <v>20</v>
      </c>
      <c r="N21" s="29">
        <v>6.5</v>
      </c>
      <c r="O21" s="29">
        <v>1.8</v>
      </c>
      <c r="P21" s="29">
        <v>7.3</v>
      </c>
      <c r="Q21" s="29">
        <v>4</v>
      </c>
      <c r="R21" s="29">
        <v>3.7</v>
      </c>
      <c r="S21" s="29">
        <v>2</v>
      </c>
      <c r="T21" s="29">
        <v>3.2</v>
      </c>
      <c r="U21" s="29">
        <v>1.4</v>
      </c>
      <c r="V21" s="29">
        <v>4.9000000000000004</v>
      </c>
      <c r="W21" s="29">
        <v>1.7</v>
      </c>
      <c r="X21" s="29">
        <v>2</v>
      </c>
      <c r="Y21" s="29">
        <v>5</v>
      </c>
      <c r="Z21" s="28">
        <f t="shared" si="0"/>
        <v>80.000000000000014</v>
      </c>
      <c r="AA21" s="48">
        <f>RANK(Z21,Z$18:Z$21)</f>
        <v>4</v>
      </c>
    </row>
    <row r="22" spans="1:27" ht="14.25" thickTop="1">
      <c r="A22" s="8" t="s">
        <v>110</v>
      </c>
      <c r="B22" s="18" t="s">
        <v>47</v>
      </c>
      <c r="C22" s="18">
        <v>26</v>
      </c>
      <c r="D22" s="19" t="s">
        <v>53</v>
      </c>
      <c r="E22" s="20">
        <v>0.29444444444444401</v>
      </c>
      <c r="F22" s="20">
        <v>0.32609953703703703</v>
      </c>
      <c r="G22" s="20">
        <v>0.54652777777777783</v>
      </c>
      <c r="H22" s="21">
        <v>3.4722222222222224E-2</v>
      </c>
      <c r="I22" s="21">
        <v>0.20833333333333334</v>
      </c>
      <c r="J22" s="21">
        <f t="shared" si="5"/>
        <v>3.1655092592593026E-2</v>
      </c>
      <c r="K22" s="21">
        <f t="shared" si="6"/>
        <v>0.25208333333333383</v>
      </c>
      <c r="L22" s="22">
        <f t="shared" si="7"/>
        <v>20</v>
      </c>
      <c r="M22" s="22">
        <v>20</v>
      </c>
      <c r="N22" s="23">
        <v>7.5</v>
      </c>
      <c r="O22" s="23">
        <v>2</v>
      </c>
      <c r="P22" s="23">
        <v>7.8</v>
      </c>
      <c r="Q22" s="23">
        <v>4</v>
      </c>
      <c r="R22" s="23">
        <v>4.9000000000000004</v>
      </c>
      <c r="S22" s="23">
        <v>4</v>
      </c>
      <c r="T22" s="23">
        <v>2</v>
      </c>
      <c r="U22" s="23">
        <v>2</v>
      </c>
      <c r="V22" s="23">
        <v>5.8</v>
      </c>
      <c r="W22" s="23">
        <v>1.5</v>
      </c>
      <c r="X22" s="23">
        <v>3</v>
      </c>
      <c r="Y22" s="23">
        <v>5</v>
      </c>
      <c r="Z22" s="22">
        <f t="shared" si="0"/>
        <v>89.5</v>
      </c>
      <c r="AA22" s="46">
        <f>RANK(Z22,Z$22)</f>
        <v>1</v>
      </c>
    </row>
    <row r="23" spans="1:27" s="6" customFormat="1">
      <c r="B23" s="11"/>
      <c r="C23" s="11"/>
      <c r="D23" s="49"/>
      <c r="E23" s="13"/>
      <c r="F23" s="13"/>
      <c r="G23" s="13"/>
      <c r="H23" s="13"/>
      <c r="I23" s="13"/>
      <c r="J23" s="13"/>
      <c r="K23" s="13"/>
      <c r="L23" s="50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7" s="6" customFormat="1">
      <c r="B24" s="11"/>
      <c r="C24" s="11"/>
      <c r="D24" s="49"/>
      <c r="E24" s="13"/>
      <c r="F24" s="13"/>
      <c r="G24" s="13"/>
      <c r="H24" s="13"/>
      <c r="I24" s="13"/>
      <c r="J24" s="13"/>
      <c r="K24" s="13"/>
      <c r="L24" s="50"/>
      <c r="M24" s="50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7" s="6" customFormat="1">
      <c r="B25" s="11" t="s">
        <v>121</v>
      </c>
      <c r="C25" s="11"/>
      <c r="D25" s="49"/>
      <c r="E25" s="13"/>
      <c r="F25" s="13"/>
      <c r="G25" s="13"/>
      <c r="H25" s="13"/>
      <c r="I25" s="13"/>
      <c r="J25" s="13"/>
      <c r="K25" s="13"/>
      <c r="L25" s="50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7" s="6" customFormat="1">
      <c r="B26" s="11"/>
      <c r="C26" s="11"/>
      <c r="D26" s="49"/>
      <c r="E26" s="13"/>
      <c r="F26" s="13"/>
      <c r="G26" s="13"/>
      <c r="H26" s="13"/>
      <c r="I26" s="13"/>
      <c r="J26" s="13"/>
      <c r="K26" s="13"/>
      <c r="L26" s="50"/>
      <c r="M26" s="50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7" s="6" customFormat="1">
      <c r="B27" s="11"/>
      <c r="C27" s="11"/>
      <c r="D27" s="49"/>
      <c r="E27" s="13"/>
      <c r="F27" s="13"/>
      <c r="G27" s="13"/>
      <c r="H27" s="13"/>
      <c r="I27" s="13"/>
      <c r="J27" s="13"/>
      <c r="K27" s="13"/>
      <c r="L27" s="50"/>
      <c r="M27" s="5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7" s="6" customFormat="1">
      <c r="B28" s="11"/>
      <c r="C28" s="11"/>
      <c r="D28" s="49"/>
      <c r="E28" s="13"/>
      <c r="F28" s="13"/>
      <c r="G28" s="13"/>
      <c r="H28" s="13"/>
      <c r="I28" s="13"/>
      <c r="J28" s="13"/>
      <c r="K28" s="13"/>
      <c r="L28" s="50"/>
      <c r="M28" s="50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7" s="6" customFormat="1">
      <c r="B29" s="11"/>
      <c r="C29" s="11"/>
      <c r="D29" s="49"/>
      <c r="E29" s="13"/>
      <c r="F29" s="13"/>
      <c r="G29" s="13"/>
      <c r="H29" s="13"/>
      <c r="I29" s="13"/>
      <c r="J29" s="13"/>
      <c r="K29" s="13"/>
      <c r="L29" s="50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7" s="6" customFormat="1">
      <c r="B30" s="11"/>
      <c r="C30" s="11"/>
      <c r="D30" s="49"/>
      <c r="E30" s="13"/>
      <c r="F30" s="13"/>
      <c r="G30" s="13"/>
      <c r="H30" s="13"/>
      <c r="I30" s="13"/>
      <c r="J30" s="13"/>
      <c r="K30" s="13"/>
      <c r="L30" s="50"/>
      <c r="M30" s="50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7" s="6" customFormat="1">
      <c r="B31" s="11"/>
      <c r="C31" s="11"/>
      <c r="D31" s="49"/>
      <c r="E31" s="13"/>
      <c r="F31" s="13"/>
      <c r="G31" s="13"/>
      <c r="H31" s="13"/>
      <c r="I31" s="13"/>
      <c r="J31" s="13"/>
      <c r="K31" s="13"/>
      <c r="L31" s="50"/>
      <c r="M31" s="50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7" s="6" customFormat="1">
      <c r="B32" s="11"/>
      <c r="C32" s="11"/>
      <c r="D32" s="49"/>
      <c r="E32" s="13"/>
      <c r="F32" s="13"/>
      <c r="G32" s="13"/>
      <c r="H32" s="13"/>
      <c r="I32" s="13"/>
      <c r="J32" s="13"/>
      <c r="K32" s="13"/>
      <c r="L32" s="50"/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7" s="6" customFormat="1">
      <c r="A33" s="6" t="s">
        <v>90</v>
      </c>
      <c r="B33" s="11" t="s">
        <v>35</v>
      </c>
      <c r="C33" s="11"/>
      <c r="D33" s="49" t="s">
        <v>36</v>
      </c>
      <c r="E33" s="52">
        <v>0.28541666666666698</v>
      </c>
      <c r="F33" s="52">
        <v>0.31320601851851798</v>
      </c>
      <c r="G33" s="52">
        <v>0.47916666666666702</v>
      </c>
      <c r="H33" s="53">
        <v>2.7777777777777776E-2</v>
      </c>
      <c r="I33" s="53">
        <v>0.19444444444444445</v>
      </c>
      <c r="J33" s="53">
        <v>2.7789351851850996E-2</v>
      </c>
      <c r="K33" s="53">
        <v>0.19375000000000001</v>
      </c>
      <c r="L33" s="54">
        <v>20</v>
      </c>
      <c r="M33" s="54">
        <v>20</v>
      </c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4">
        <v>40</v>
      </c>
      <c r="AA33" s="56">
        <v>1</v>
      </c>
    </row>
    <row r="34" spans="1:27" s="6" customFormat="1">
      <c r="A34" s="6" t="s">
        <v>93</v>
      </c>
      <c r="B34" s="11" t="s">
        <v>68</v>
      </c>
      <c r="C34" s="11"/>
      <c r="D34" s="49" t="s">
        <v>69</v>
      </c>
      <c r="E34" s="52"/>
      <c r="F34" s="52"/>
      <c r="G34" s="52"/>
      <c r="H34" s="53">
        <v>2.7777777777777776E-2</v>
      </c>
      <c r="I34" s="53">
        <v>0.19444444444444445</v>
      </c>
      <c r="J34" s="53">
        <v>0</v>
      </c>
      <c r="K34" s="53">
        <v>0</v>
      </c>
      <c r="L34" s="54">
        <v>20</v>
      </c>
      <c r="M34" s="54">
        <v>20</v>
      </c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4">
        <v>40</v>
      </c>
      <c r="AA34" s="56">
        <v>1</v>
      </c>
    </row>
    <row r="35" spans="1:27" s="6" customFormat="1">
      <c r="A35" s="6" t="s">
        <v>91</v>
      </c>
      <c r="B35" s="11" t="s">
        <v>80</v>
      </c>
      <c r="C35" s="11"/>
      <c r="D35" s="49" t="s">
        <v>81</v>
      </c>
      <c r="E35" s="52"/>
      <c r="F35" s="52"/>
      <c r="G35" s="52"/>
      <c r="H35" s="53">
        <v>3.4722222222222224E-2</v>
      </c>
      <c r="I35" s="53">
        <v>0.20833333333333334</v>
      </c>
      <c r="J35" s="53">
        <v>0</v>
      </c>
      <c r="K35" s="53">
        <v>0</v>
      </c>
      <c r="L35" s="54">
        <v>20</v>
      </c>
      <c r="M35" s="54">
        <v>20</v>
      </c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4">
        <v>40</v>
      </c>
      <c r="AA35" s="56">
        <v>1</v>
      </c>
    </row>
    <row r="36" spans="1:27" s="6" customFormat="1">
      <c r="B36" s="11" t="s">
        <v>15</v>
      </c>
      <c r="C36" s="11"/>
      <c r="D36" s="49" t="s">
        <v>16</v>
      </c>
      <c r="E36" s="13">
        <v>0.53611111111111109</v>
      </c>
      <c r="F36" s="13">
        <v>0.56939814814814815</v>
      </c>
      <c r="G36" s="13"/>
      <c r="H36" s="13"/>
      <c r="I36" s="13"/>
      <c r="J36" s="13">
        <f t="shared" ref="J36:J69" si="9">F36-E36</f>
        <v>3.3287037037037059E-2</v>
      </c>
      <c r="K36" s="13" t="e">
        <f t="shared" ref="K36:K46" si="10">J36-MIN(TR1A)</f>
        <v>#NAME?</v>
      </c>
      <c r="L36" s="50" t="e">
        <f t="shared" ref="L36:L54" si="11">MAX(15-K36*60*24*0.5,0)</f>
        <v>#NAME?</v>
      </c>
      <c r="M36" s="50" t="e">
        <f>MAX(15-#REF!*60*24*0.5,0)</f>
        <v>#REF!</v>
      </c>
      <c r="N36" s="51">
        <f>9.1-0.8</f>
        <v>8.2999999999999989</v>
      </c>
      <c r="O36" s="51">
        <f>9.1-0.8</f>
        <v>8.2999999999999989</v>
      </c>
      <c r="P36" s="51">
        <v>7.8</v>
      </c>
      <c r="Q36" s="51">
        <v>3.8</v>
      </c>
      <c r="R36" s="51">
        <v>3.4</v>
      </c>
      <c r="S36" s="51">
        <f>1+3</f>
        <v>4</v>
      </c>
      <c r="T36" s="51">
        <v>4</v>
      </c>
      <c r="U36" s="51">
        <v>1.8</v>
      </c>
      <c r="V36" s="51">
        <v>5.6</v>
      </c>
      <c r="W36" s="51">
        <v>3</v>
      </c>
      <c r="X36" s="51">
        <v>2.4</v>
      </c>
      <c r="Y36" s="51">
        <v>5</v>
      </c>
      <c r="Z36" s="51" t="e">
        <f t="shared" ref="Z36:Z69" si="12">SUM(L36:Y36)</f>
        <v>#NAME?</v>
      </c>
      <c r="AA36" s="6" t="e">
        <f>RANK(Z36,TTLA)</f>
        <v>#NAME?</v>
      </c>
    </row>
    <row r="37" spans="1:27" s="6" customFormat="1">
      <c r="A37" s="6" t="s">
        <v>102</v>
      </c>
      <c r="B37" s="11" t="s">
        <v>21</v>
      </c>
      <c r="C37" s="11"/>
      <c r="D37" s="49" t="s">
        <v>22</v>
      </c>
      <c r="E37" s="13">
        <v>0.53819444444444398</v>
      </c>
      <c r="F37" s="13">
        <v>0.57821759259259264</v>
      </c>
      <c r="G37" s="13"/>
      <c r="H37" s="13"/>
      <c r="I37" s="13"/>
      <c r="J37" s="13">
        <f t="shared" si="9"/>
        <v>4.0023148148148668E-2</v>
      </c>
      <c r="K37" s="13" t="e">
        <f t="shared" si="10"/>
        <v>#NAME?</v>
      </c>
      <c r="L37" s="50" t="e">
        <f t="shared" si="11"/>
        <v>#NAME?</v>
      </c>
      <c r="M37" s="50" t="e">
        <f>MAX(15-#REF!*60*24*0.5,0)</f>
        <v>#REF!</v>
      </c>
      <c r="N37" s="51">
        <f>10-0.8</f>
        <v>9.1999999999999993</v>
      </c>
      <c r="O37" s="51">
        <f>10-0.8</f>
        <v>9.1999999999999993</v>
      </c>
      <c r="P37" s="51">
        <v>7.4</v>
      </c>
      <c r="Q37" s="51">
        <v>3.1</v>
      </c>
      <c r="R37" s="51">
        <v>1.1000000000000001</v>
      </c>
      <c r="S37" s="51">
        <f>2+2</f>
        <v>4</v>
      </c>
      <c r="T37" s="51">
        <v>1.5</v>
      </c>
      <c r="U37" s="51">
        <v>1.8</v>
      </c>
      <c r="V37" s="51">
        <v>3.8</v>
      </c>
      <c r="W37" s="51">
        <v>1</v>
      </c>
      <c r="X37" s="51">
        <v>2.7</v>
      </c>
      <c r="Y37" s="51">
        <v>5</v>
      </c>
      <c r="Z37" s="51" t="e">
        <f t="shared" si="12"/>
        <v>#NAME?</v>
      </c>
      <c r="AA37" s="6" t="e">
        <f>RANK(Z37,TTLA)</f>
        <v>#NAME?</v>
      </c>
    </row>
    <row r="38" spans="1:27" s="6" customFormat="1">
      <c r="A38" s="6" t="s">
        <v>102</v>
      </c>
      <c r="B38" s="11" t="s">
        <v>27</v>
      </c>
      <c r="C38" s="11"/>
      <c r="D38" s="57" t="s">
        <v>28</v>
      </c>
      <c r="E38" s="13">
        <v>0.54027777777777797</v>
      </c>
      <c r="F38" s="13">
        <v>0.57668981481481485</v>
      </c>
      <c r="G38" s="13"/>
      <c r="H38" s="13"/>
      <c r="I38" s="13"/>
      <c r="J38" s="13">
        <f t="shared" si="9"/>
        <v>3.6412037037036882E-2</v>
      </c>
      <c r="K38" s="13" t="e">
        <f t="shared" si="10"/>
        <v>#NAME?</v>
      </c>
      <c r="L38" s="50" t="e">
        <f t="shared" si="11"/>
        <v>#NAME?</v>
      </c>
      <c r="M38" s="50" t="e">
        <f>MAX(15-#REF!*60*24*0.5,0)</f>
        <v>#REF!</v>
      </c>
      <c r="N38" s="51">
        <f>9.5-0.8</f>
        <v>8.6999999999999993</v>
      </c>
      <c r="O38" s="51">
        <f>9.5-0.8</f>
        <v>8.6999999999999993</v>
      </c>
      <c r="P38" s="51">
        <v>8</v>
      </c>
      <c r="Q38" s="51">
        <v>4</v>
      </c>
      <c r="R38" s="51">
        <v>1.2</v>
      </c>
      <c r="S38" s="51">
        <f>2+4</f>
        <v>6</v>
      </c>
      <c r="T38" s="51">
        <v>4</v>
      </c>
      <c r="U38" s="51">
        <v>1.8</v>
      </c>
      <c r="V38" s="51">
        <v>5.8</v>
      </c>
      <c r="W38" s="51">
        <v>2.5</v>
      </c>
      <c r="X38" s="51">
        <v>3</v>
      </c>
      <c r="Y38" s="51">
        <v>5</v>
      </c>
      <c r="Z38" s="51" t="e">
        <f t="shared" si="12"/>
        <v>#NAME?</v>
      </c>
      <c r="AA38" s="6" t="e">
        <f>RANK(Z38,TTLA)</f>
        <v>#NAME?</v>
      </c>
    </row>
    <row r="39" spans="1:27" s="6" customFormat="1">
      <c r="A39" s="6" t="s">
        <v>102</v>
      </c>
      <c r="B39" s="11" t="s">
        <v>29</v>
      </c>
      <c r="C39" s="11"/>
      <c r="D39" s="58" t="s">
        <v>30</v>
      </c>
      <c r="E39" s="13">
        <v>0.54097222222222197</v>
      </c>
      <c r="F39" s="13">
        <v>0.58898148148148144</v>
      </c>
      <c r="G39" s="13"/>
      <c r="H39" s="13"/>
      <c r="I39" s="13"/>
      <c r="J39" s="13">
        <f t="shared" si="9"/>
        <v>4.8009259259259474E-2</v>
      </c>
      <c r="K39" s="13" t="e">
        <f t="shared" si="10"/>
        <v>#NAME?</v>
      </c>
      <c r="L39" s="50" t="e">
        <f t="shared" si="11"/>
        <v>#NAME?</v>
      </c>
      <c r="M39" s="50" t="e">
        <f>MAX(15-#REF!*60*24*0.5,0)</f>
        <v>#REF!</v>
      </c>
      <c r="N39" s="51">
        <f>8-0.8</f>
        <v>7.2</v>
      </c>
      <c r="O39" s="51">
        <f>8-0.8</f>
        <v>7.2</v>
      </c>
      <c r="P39" s="51">
        <v>7.6</v>
      </c>
      <c r="Q39" s="51">
        <v>3.8</v>
      </c>
      <c r="R39" s="51">
        <v>0.5</v>
      </c>
      <c r="S39" s="51">
        <f>2+3</f>
        <v>5</v>
      </c>
      <c r="T39" s="51">
        <v>2.5</v>
      </c>
      <c r="U39" s="51">
        <v>1.6</v>
      </c>
      <c r="V39" s="51">
        <v>4.8</v>
      </c>
      <c r="W39" s="51">
        <v>2.5</v>
      </c>
      <c r="X39" s="51">
        <v>3</v>
      </c>
      <c r="Y39" s="51">
        <f>5-1-0.5</f>
        <v>3.5</v>
      </c>
      <c r="Z39" s="51" t="e">
        <f t="shared" si="12"/>
        <v>#NAME?</v>
      </c>
      <c r="AA39" s="6" t="e">
        <f>RANK(Z39,TTLA)</f>
        <v>#NAME?</v>
      </c>
    </row>
    <row r="40" spans="1:27" s="6" customFormat="1">
      <c r="A40" s="6" t="s">
        <v>104</v>
      </c>
      <c r="B40" s="11" t="s">
        <v>111</v>
      </c>
      <c r="C40" s="11"/>
      <c r="D40" s="49" t="s">
        <v>32</v>
      </c>
      <c r="E40" s="13">
        <v>0.54305555555555596</v>
      </c>
      <c r="F40" s="13">
        <v>0.58539351851851851</v>
      </c>
      <c r="G40" s="13"/>
      <c r="H40" s="13"/>
      <c r="I40" s="13"/>
      <c r="J40" s="13">
        <f t="shared" si="9"/>
        <v>4.233796296296255E-2</v>
      </c>
      <c r="K40" s="13" t="e">
        <f t="shared" si="10"/>
        <v>#NAME?</v>
      </c>
      <c r="L40" s="50" t="e">
        <f t="shared" si="11"/>
        <v>#NAME?</v>
      </c>
      <c r="M40" s="50" t="e">
        <f>MAX(15-#REF!*60*24*0.5,0)</f>
        <v>#REF!</v>
      </c>
      <c r="N40" s="51">
        <f>5.8-0.8</f>
        <v>5</v>
      </c>
      <c r="O40" s="51">
        <f>5.8-0.8</f>
        <v>5</v>
      </c>
      <c r="P40" s="51">
        <v>6</v>
      </c>
      <c r="Q40" s="51">
        <v>3.5</v>
      </c>
      <c r="R40" s="51">
        <v>2.1</v>
      </c>
      <c r="S40" s="51">
        <f>2+0</f>
        <v>2</v>
      </c>
      <c r="T40" s="51">
        <v>0</v>
      </c>
      <c r="U40" s="51">
        <v>1.8</v>
      </c>
      <c r="V40" s="51">
        <v>3</v>
      </c>
      <c r="W40" s="51">
        <v>0</v>
      </c>
      <c r="X40" s="51">
        <v>1.8</v>
      </c>
      <c r="Y40" s="51">
        <v>5</v>
      </c>
      <c r="Z40" s="51" t="e">
        <f t="shared" si="12"/>
        <v>#NAME?</v>
      </c>
      <c r="AA40" s="6" t="e">
        <f t="shared" ref="AA40:AA46" si="13">RANK(Z40,TTLB)</f>
        <v>#NAME?</v>
      </c>
    </row>
    <row r="41" spans="1:27" s="6" customFormat="1">
      <c r="A41" s="6" t="s">
        <v>104</v>
      </c>
      <c r="B41" s="11" t="s">
        <v>19</v>
      </c>
      <c r="C41" s="11"/>
      <c r="D41" s="49" t="s">
        <v>33</v>
      </c>
      <c r="E41" s="13">
        <v>0.54374999999999996</v>
      </c>
      <c r="F41" s="13">
        <v>0.57869212962962957</v>
      </c>
      <c r="G41" s="13"/>
      <c r="H41" s="13"/>
      <c r="I41" s="13"/>
      <c r="J41" s="13">
        <f t="shared" si="9"/>
        <v>3.4942129629629615E-2</v>
      </c>
      <c r="K41" s="13" t="e">
        <f t="shared" si="10"/>
        <v>#NAME?</v>
      </c>
      <c r="L41" s="50" t="e">
        <f t="shared" si="11"/>
        <v>#NAME?</v>
      </c>
      <c r="M41" s="50" t="e">
        <f>MAX(15-#REF!*60*24*0.5,0)</f>
        <v>#REF!</v>
      </c>
      <c r="N41" s="51">
        <f>8-0.2</f>
        <v>7.8</v>
      </c>
      <c r="O41" s="51">
        <f>8-0.2</f>
        <v>7.8</v>
      </c>
      <c r="P41" s="51">
        <v>7.1</v>
      </c>
      <c r="Q41" s="51">
        <v>4</v>
      </c>
      <c r="R41" s="51">
        <v>0</v>
      </c>
      <c r="S41" s="51">
        <f>3+3</f>
        <v>6</v>
      </c>
      <c r="T41" s="51">
        <v>1.5</v>
      </c>
      <c r="U41" s="51">
        <v>1.6</v>
      </c>
      <c r="V41" s="51">
        <v>5</v>
      </c>
      <c r="W41" s="51">
        <v>1</v>
      </c>
      <c r="X41" s="51">
        <v>3</v>
      </c>
      <c r="Y41" s="51">
        <v>5</v>
      </c>
      <c r="Z41" s="51" t="e">
        <f t="shared" si="12"/>
        <v>#NAME?</v>
      </c>
      <c r="AA41" s="6" t="e">
        <f t="shared" si="13"/>
        <v>#NAME?</v>
      </c>
    </row>
    <row r="42" spans="1:27" s="6" customFormat="1">
      <c r="A42" s="6" t="s">
        <v>104</v>
      </c>
      <c r="B42" s="11" t="s">
        <v>21</v>
      </c>
      <c r="C42" s="11"/>
      <c r="D42" s="49" t="s">
        <v>39</v>
      </c>
      <c r="E42" s="13">
        <v>0.54722222222222205</v>
      </c>
      <c r="F42" s="13">
        <v>0.60146990740740736</v>
      </c>
      <c r="G42" s="13"/>
      <c r="H42" s="13"/>
      <c r="I42" s="13"/>
      <c r="J42" s="13">
        <f t="shared" si="9"/>
        <v>5.4247685185185301E-2</v>
      </c>
      <c r="K42" s="13" t="e">
        <f t="shared" si="10"/>
        <v>#NAME?</v>
      </c>
      <c r="L42" s="50" t="e">
        <f t="shared" si="11"/>
        <v>#NAME?</v>
      </c>
      <c r="M42" s="50" t="e">
        <f>MAX(15-#REF!*60*24*0.5,0)</f>
        <v>#REF!</v>
      </c>
      <c r="N42" s="51">
        <f>8.5-0.6</f>
        <v>7.9</v>
      </c>
      <c r="O42" s="51">
        <f>8.5-0.6</f>
        <v>7.9</v>
      </c>
      <c r="P42" s="51">
        <v>7.1</v>
      </c>
      <c r="Q42" s="51">
        <v>3.3</v>
      </c>
      <c r="R42" s="51">
        <v>0.8</v>
      </c>
      <c r="S42" s="51">
        <f>1+0</f>
        <v>1</v>
      </c>
      <c r="T42" s="51">
        <v>3.5</v>
      </c>
      <c r="U42" s="51">
        <v>1.4</v>
      </c>
      <c r="V42" s="51">
        <v>3.2</v>
      </c>
      <c r="W42" s="51">
        <v>1.5</v>
      </c>
      <c r="X42" s="51">
        <v>3</v>
      </c>
      <c r="Y42" s="51">
        <v>5</v>
      </c>
      <c r="Z42" s="51" t="e">
        <f t="shared" si="12"/>
        <v>#NAME?</v>
      </c>
      <c r="AA42" s="6" t="e">
        <f t="shared" si="13"/>
        <v>#NAME?</v>
      </c>
    </row>
    <row r="43" spans="1:27" s="6" customFormat="1">
      <c r="A43" s="6" t="s">
        <v>104</v>
      </c>
      <c r="B43" s="11" t="s">
        <v>112</v>
      </c>
      <c r="C43" s="11"/>
      <c r="D43" s="49" t="s">
        <v>32</v>
      </c>
      <c r="E43" s="13">
        <v>0.54791666666666705</v>
      </c>
      <c r="F43" s="13">
        <v>0.58905092592592589</v>
      </c>
      <c r="G43" s="13"/>
      <c r="H43" s="13"/>
      <c r="I43" s="13"/>
      <c r="J43" s="13">
        <f t="shared" si="9"/>
        <v>4.1134259259258843E-2</v>
      </c>
      <c r="K43" s="13" t="e">
        <f t="shared" si="10"/>
        <v>#NAME?</v>
      </c>
      <c r="L43" s="50" t="e">
        <f t="shared" si="11"/>
        <v>#NAME?</v>
      </c>
      <c r="M43" s="50" t="e">
        <f>MAX(15-#REF!*60*24*0.5,0)</f>
        <v>#REF!</v>
      </c>
      <c r="N43" s="51">
        <f>7.8-0.4</f>
        <v>7.3999999999999995</v>
      </c>
      <c r="O43" s="51">
        <f>7.8-0.4</f>
        <v>7.3999999999999995</v>
      </c>
      <c r="P43" s="51">
        <v>7.4</v>
      </c>
      <c r="Q43" s="51">
        <v>3.3</v>
      </c>
      <c r="R43" s="51">
        <v>2.6</v>
      </c>
      <c r="S43" s="51">
        <f>3+1</f>
        <v>4</v>
      </c>
      <c r="T43" s="51">
        <v>1.5</v>
      </c>
      <c r="U43" s="51">
        <v>2</v>
      </c>
      <c r="V43" s="51">
        <v>4.8</v>
      </c>
      <c r="W43" s="51">
        <v>1</v>
      </c>
      <c r="X43" s="51">
        <v>2.7</v>
      </c>
      <c r="Y43" s="51">
        <v>5</v>
      </c>
      <c r="Z43" s="51" t="e">
        <f t="shared" si="12"/>
        <v>#NAME?</v>
      </c>
      <c r="AA43" s="6" t="e">
        <f t="shared" si="13"/>
        <v>#NAME?</v>
      </c>
    </row>
    <row r="44" spans="1:27" s="6" customFormat="1">
      <c r="A44" s="6" t="s">
        <v>104</v>
      </c>
      <c r="B44" s="11" t="s">
        <v>113</v>
      </c>
      <c r="C44" s="11"/>
      <c r="D44" s="49" t="s">
        <v>40</v>
      </c>
      <c r="E44" s="13">
        <v>0.54861111111111105</v>
      </c>
      <c r="F44" s="13">
        <v>0.58599537037037031</v>
      </c>
      <c r="G44" s="13"/>
      <c r="H44" s="13"/>
      <c r="I44" s="13"/>
      <c r="J44" s="13">
        <f t="shared" si="9"/>
        <v>3.7384259259259256E-2</v>
      </c>
      <c r="K44" s="13" t="e">
        <f t="shared" si="10"/>
        <v>#NAME?</v>
      </c>
      <c r="L44" s="50" t="e">
        <f t="shared" si="11"/>
        <v>#NAME?</v>
      </c>
      <c r="M44" s="50" t="e">
        <f>MAX(15-#REF!*60*24*0.5,0)</f>
        <v>#REF!</v>
      </c>
      <c r="N44" s="51">
        <f>7.4-0.4-0.6</f>
        <v>6.4</v>
      </c>
      <c r="O44" s="51">
        <f>7.4-0.4-0.6</f>
        <v>6.4</v>
      </c>
      <c r="P44" s="51">
        <v>6.4</v>
      </c>
      <c r="Q44" s="51">
        <v>2.6</v>
      </c>
      <c r="R44" s="51">
        <v>0.4</v>
      </c>
      <c r="S44" s="51">
        <f>3+1</f>
        <v>4</v>
      </c>
      <c r="T44" s="51">
        <v>4</v>
      </c>
      <c r="U44" s="51">
        <v>1.6</v>
      </c>
      <c r="V44" s="51">
        <v>5.4</v>
      </c>
      <c r="W44" s="51">
        <v>1</v>
      </c>
      <c r="X44" s="51">
        <v>3</v>
      </c>
      <c r="Y44" s="51">
        <f>5-1</f>
        <v>4</v>
      </c>
      <c r="Z44" s="51" t="e">
        <f t="shared" si="12"/>
        <v>#NAME?</v>
      </c>
      <c r="AA44" s="6" t="e">
        <f t="shared" si="13"/>
        <v>#NAME?</v>
      </c>
    </row>
    <row r="45" spans="1:27" s="6" customFormat="1">
      <c r="A45" s="6" t="s">
        <v>104</v>
      </c>
      <c r="B45" s="11" t="s">
        <v>43</v>
      </c>
      <c r="C45" s="11"/>
      <c r="D45" s="49" t="s">
        <v>41</v>
      </c>
      <c r="E45" s="13">
        <v>0.55138888888888904</v>
      </c>
      <c r="F45" s="13">
        <v>0.58603009259259264</v>
      </c>
      <c r="G45" s="13"/>
      <c r="H45" s="13"/>
      <c r="I45" s="13"/>
      <c r="J45" s="13">
        <f t="shared" si="9"/>
        <v>3.4641203703703605E-2</v>
      </c>
      <c r="K45" s="13" t="e">
        <f t="shared" si="10"/>
        <v>#NAME?</v>
      </c>
      <c r="L45" s="50" t="e">
        <f t="shared" si="11"/>
        <v>#NAME?</v>
      </c>
      <c r="M45" s="50" t="e">
        <f>MAX(15-#REF!*60*24*0.5,0)</f>
        <v>#REF!</v>
      </c>
      <c r="N45" s="51">
        <f>8.3-0.8</f>
        <v>7.5000000000000009</v>
      </c>
      <c r="O45" s="51">
        <f>8.3-0.8</f>
        <v>7.5000000000000009</v>
      </c>
      <c r="P45" s="51">
        <v>7.4</v>
      </c>
      <c r="Q45" s="51">
        <v>4</v>
      </c>
      <c r="R45" s="51">
        <v>5</v>
      </c>
      <c r="S45" s="51">
        <f>3+2</f>
        <v>5</v>
      </c>
      <c r="T45" s="51">
        <v>3.5</v>
      </c>
      <c r="U45" s="51">
        <v>1.8</v>
      </c>
      <c r="V45" s="51">
        <v>4.2</v>
      </c>
      <c r="W45" s="51">
        <v>2</v>
      </c>
      <c r="X45" s="51">
        <v>3</v>
      </c>
      <c r="Y45" s="51">
        <v>5</v>
      </c>
      <c r="Z45" s="51" t="e">
        <f t="shared" si="12"/>
        <v>#NAME?</v>
      </c>
      <c r="AA45" s="6" t="e">
        <f t="shared" si="13"/>
        <v>#NAME?</v>
      </c>
    </row>
    <row r="46" spans="1:27" s="6" customFormat="1">
      <c r="A46" s="6" t="s">
        <v>104</v>
      </c>
      <c r="B46" s="11" t="s">
        <v>44</v>
      </c>
      <c r="C46" s="11"/>
      <c r="D46" s="49" t="s">
        <v>45</v>
      </c>
      <c r="E46" s="13">
        <v>0.55208333333333304</v>
      </c>
      <c r="F46" s="13">
        <v>0.60280092592592593</v>
      </c>
      <c r="G46" s="13"/>
      <c r="H46" s="13"/>
      <c r="I46" s="13"/>
      <c r="J46" s="13">
        <f t="shared" si="9"/>
        <v>5.0717592592592897E-2</v>
      </c>
      <c r="K46" s="13" t="e">
        <f t="shared" si="10"/>
        <v>#NAME?</v>
      </c>
      <c r="L46" s="50" t="e">
        <f t="shared" si="11"/>
        <v>#NAME?</v>
      </c>
      <c r="M46" s="50" t="e">
        <f>MAX(15-#REF!*60*24*0.5,0)</f>
        <v>#REF!</v>
      </c>
      <c r="N46" s="51">
        <f>3-1-0.2-0.4</f>
        <v>1.4</v>
      </c>
      <c r="O46" s="51">
        <f>3-1-0.2-0.4</f>
        <v>1.4</v>
      </c>
      <c r="P46" s="51">
        <v>6.6</v>
      </c>
      <c r="Q46" s="51">
        <v>1.5</v>
      </c>
      <c r="R46" s="51">
        <v>0</v>
      </c>
      <c r="S46" s="51">
        <f>2+1</f>
        <v>3</v>
      </c>
      <c r="T46" s="51">
        <v>3</v>
      </c>
      <c r="U46" s="51">
        <v>1.4</v>
      </c>
      <c r="V46" s="51">
        <v>4.2</v>
      </c>
      <c r="W46" s="51">
        <v>1.5</v>
      </c>
      <c r="X46" s="51">
        <v>2.7</v>
      </c>
      <c r="Y46" s="51">
        <f>5-1</f>
        <v>4</v>
      </c>
      <c r="Z46" s="51" t="e">
        <f t="shared" si="12"/>
        <v>#NAME?</v>
      </c>
      <c r="AA46" s="6" t="e">
        <f t="shared" si="13"/>
        <v>#NAME?</v>
      </c>
    </row>
    <row r="47" spans="1:27" s="6" customFormat="1">
      <c r="A47" s="6" t="s">
        <v>109</v>
      </c>
      <c r="B47" s="11" t="s">
        <v>21</v>
      </c>
      <c r="C47" s="11"/>
      <c r="D47" s="49" t="s">
        <v>46</v>
      </c>
      <c r="E47" s="13">
        <v>0.55277777777777704</v>
      </c>
      <c r="F47" s="13">
        <v>0.60630787037037037</v>
      </c>
      <c r="G47" s="13"/>
      <c r="H47" s="13"/>
      <c r="I47" s="13"/>
      <c r="J47" s="13">
        <f t="shared" si="9"/>
        <v>5.3530092592593337E-2</v>
      </c>
      <c r="K47" s="13" t="e">
        <f>J47-MIN(TR1D)</f>
        <v>#NAME?</v>
      </c>
      <c r="L47" s="50" t="e">
        <f t="shared" si="11"/>
        <v>#NAME?</v>
      </c>
      <c r="M47" s="50" t="e">
        <f>MAX(15-#REF!*60*24*0.5,0)</f>
        <v>#REF!</v>
      </c>
      <c r="N47" s="51">
        <f>9.4-1.6-0.4</f>
        <v>7.4</v>
      </c>
      <c r="O47" s="51">
        <f>9.4-1.6-0.4</f>
        <v>7.4</v>
      </c>
      <c r="P47" s="51">
        <v>8</v>
      </c>
      <c r="Q47" s="51">
        <v>3.5</v>
      </c>
      <c r="R47" s="51">
        <v>3.8</v>
      </c>
      <c r="S47" s="51">
        <f>0+0</f>
        <v>0</v>
      </c>
      <c r="T47" s="51">
        <v>1</v>
      </c>
      <c r="U47" s="51">
        <v>2</v>
      </c>
      <c r="V47" s="51">
        <v>5</v>
      </c>
      <c r="W47" s="51">
        <v>1</v>
      </c>
      <c r="X47" s="51">
        <v>2.7</v>
      </c>
      <c r="Y47" s="51">
        <v>5</v>
      </c>
      <c r="Z47" s="51" t="e">
        <f t="shared" si="12"/>
        <v>#NAME?</v>
      </c>
      <c r="AA47" s="6" t="e">
        <f>RANK(Z47,TTLD)</f>
        <v>#NAME?</v>
      </c>
    </row>
    <row r="48" spans="1:27" s="6" customFormat="1">
      <c r="A48" s="6" t="s">
        <v>109</v>
      </c>
      <c r="B48" s="11" t="s">
        <v>44</v>
      </c>
      <c r="C48" s="11"/>
      <c r="D48" s="49" t="s">
        <v>50</v>
      </c>
      <c r="E48" s="13">
        <v>0.55486111111110903</v>
      </c>
      <c r="F48" s="13">
        <v>0.61275462962962968</v>
      </c>
      <c r="G48" s="13"/>
      <c r="H48" s="13"/>
      <c r="I48" s="13"/>
      <c r="J48" s="13">
        <f t="shared" si="9"/>
        <v>5.7893518518520648E-2</v>
      </c>
      <c r="K48" s="13" t="e">
        <f>J48-MIN(TR1D)</f>
        <v>#NAME?</v>
      </c>
      <c r="L48" s="50" t="e">
        <f t="shared" si="11"/>
        <v>#NAME?</v>
      </c>
      <c r="M48" s="50" t="e">
        <f>MAX(15-#REF!*60*24*0.5,0)</f>
        <v>#REF!</v>
      </c>
      <c r="N48" s="51">
        <f>8.8-0.8</f>
        <v>8</v>
      </c>
      <c r="O48" s="51">
        <f>8.8-0.8</f>
        <v>8</v>
      </c>
      <c r="P48" s="51">
        <v>5</v>
      </c>
      <c r="Q48" s="51">
        <v>3.3</v>
      </c>
      <c r="R48" s="51">
        <v>4.8</v>
      </c>
      <c r="S48" s="51">
        <f>3+1</f>
        <v>4</v>
      </c>
      <c r="T48" s="51">
        <v>2.5</v>
      </c>
      <c r="U48" s="51">
        <v>1.8</v>
      </c>
      <c r="V48" s="51">
        <v>4.8</v>
      </c>
      <c r="W48" s="51">
        <v>2</v>
      </c>
      <c r="X48" s="51">
        <v>2.7</v>
      </c>
      <c r="Y48" s="51">
        <f>5-1</f>
        <v>4</v>
      </c>
      <c r="Z48" s="51" t="e">
        <f t="shared" si="12"/>
        <v>#NAME?</v>
      </c>
      <c r="AA48" s="6" t="e">
        <f>RANK(Z48,TTLD)</f>
        <v>#NAME?</v>
      </c>
    </row>
    <row r="49" spans="1:28" s="6" customFormat="1">
      <c r="A49" s="6" t="s">
        <v>109</v>
      </c>
      <c r="B49" s="11" t="s">
        <v>51</v>
      </c>
      <c r="C49" s="11"/>
      <c r="D49" s="49" t="s">
        <v>52</v>
      </c>
      <c r="E49" s="13">
        <v>0.55624999999999702</v>
      </c>
      <c r="F49" s="13">
        <v>1</v>
      </c>
      <c r="G49" s="13"/>
      <c r="H49" s="13"/>
      <c r="I49" s="13"/>
      <c r="J49" s="13">
        <f t="shared" si="9"/>
        <v>0.44375000000000298</v>
      </c>
      <c r="K49" s="13" t="e">
        <f>J49-MIN(TR1D)</f>
        <v>#NAME?</v>
      </c>
      <c r="L49" s="50" t="e">
        <f t="shared" si="11"/>
        <v>#NAME?</v>
      </c>
      <c r="M49" s="50" t="e">
        <f>MAX(15-#REF!*60*24*0.5,0)</f>
        <v>#REF!</v>
      </c>
      <c r="N49" s="51">
        <f>1.2-0.8</f>
        <v>0.39999999999999991</v>
      </c>
      <c r="O49" s="51">
        <f>1.2-0.8</f>
        <v>0.39999999999999991</v>
      </c>
      <c r="P49" s="51">
        <v>7</v>
      </c>
      <c r="Q49" s="51">
        <v>2.5</v>
      </c>
      <c r="R49" s="51">
        <v>0</v>
      </c>
      <c r="S49" s="51">
        <v>0</v>
      </c>
      <c r="T49" s="51"/>
      <c r="U49" s="51">
        <v>1.4</v>
      </c>
      <c r="V49" s="51">
        <v>3</v>
      </c>
      <c r="W49" s="51">
        <v>0.5</v>
      </c>
      <c r="X49" s="51">
        <v>1.8</v>
      </c>
      <c r="Y49" s="51">
        <f>5-1</f>
        <v>4</v>
      </c>
      <c r="Z49" s="51" t="e">
        <f t="shared" si="12"/>
        <v>#NAME?</v>
      </c>
      <c r="AA49" s="6" t="e">
        <f>RANK(Z49,TTLD)</f>
        <v>#NAME?</v>
      </c>
      <c r="AB49" s="6" t="s">
        <v>114</v>
      </c>
    </row>
    <row r="50" spans="1:28" s="6" customFormat="1">
      <c r="A50" s="6" t="s">
        <v>110</v>
      </c>
      <c r="B50" s="11" t="s">
        <v>13</v>
      </c>
      <c r="C50" s="11"/>
      <c r="D50" s="49" t="s">
        <v>54</v>
      </c>
      <c r="E50" s="13">
        <v>0.55763888888888502</v>
      </c>
      <c r="F50" s="13">
        <v>0.59725694444444444</v>
      </c>
      <c r="G50" s="13"/>
      <c r="H50" s="13"/>
      <c r="I50" s="13"/>
      <c r="J50" s="13">
        <f t="shared" si="9"/>
        <v>3.9618055555559417E-2</v>
      </c>
      <c r="K50" s="13" t="e">
        <f>J50-MIN(TR1D)</f>
        <v>#NAME?</v>
      </c>
      <c r="L50" s="50" t="e">
        <f t="shared" si="11"/>
        <v>#NAME?</v>
      </c>
      <c r="M50" s="50" t="e">
        <f>MAX(15-#REF!*60*24*0.5,0)</f>
        <v>#REF!</v>
      </c>
      <c r="N50" s="51">
        <f>10-0.4-0.6</f>
        <v>9</v>
      </c>
      <c r="O50" s="51">
        <f>10-0.4-0.6</f>
        <v>9</v>
      </c>
      <c r="P50" s="51">
        <v>8</v>
      </c>
      <c r="Q50" s="51">
        <v>4</v>
      </c>
      <c r="R50" s="51">
        <v>5.0999999999999996</v>
      </c>
      <c r="S50" s="51">
        <f>2+4</f>
        <v>6</v>
      </c>
      <c r="T50" s="51">
        <v>2</v>
      </c>
      <c r="U50" s="51">
        <v>1.4</v>
      </c>
      <c r="V50" s="51">
        <v>5.4</v>
      </c>
      <c r="W50" s="51">
        <v>3</v>
      </c>
      <c r="X50" s="51">
        <v>2.7</v>
      </c>
      <c r="Y50" s="51">
        <v>5</v>
      </c>
      <c r="Z50" s="51" t="e">
        <f t="shared" si="12"/>
        <v>#NAME?</v>
      </c>
      <c r="AA50" s="6" t="e">
        <f>RANK(Z50,TTLE)</f>
        <v>#NAME?</v>
      </c>
    </row>
    <row r="51" spans="1:28" s="6" customFormat="1">
      <c r="A51" s="6" t="s">
        <v>115</v>
      </c>
      <c r="B51" s="11" t="s">
        <v>55</v>
      </c>
      <c r="C51" s="11"/>
      <c r="D51" s="49" t="s">
        <v>56</v>
      </c>
      <c r="E51" s="13"/>
      <c r="F51" s="13"/>
      <c r="G51" s="13"/>
      <c r="H51" s="13"/>
      <c r="I51" s="13"/>
      <c r="J51" s="13">
        <f t="shared" si="9"/>
        <v>0</v>
      </c>
      <c r="K51" s="13"/>
      <c r="L51" s="50">
        <f t="shared" si="11"/>
        <v>15</v>
      </c>
      <c r="M51" s="50" t="e">
        <f>MAX(15-#REF!*60*24*0.5,0)</f>
        <v>#REF!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 t="e">
        <f t="shared" si="12"/>
        <v>#REF!</v>
      </c>
      <c r="AA51" s="6" t="e">
        <f>RANK(Z51,TTLB)</f>
        <v>#REF!</v>
      </c>
    </row>
    <row r="52" spans="1:28" s="6" customFormat="1">
      <c r="A52" s="6" t="s">
        <v>115</v>
      </c>
      <c r="B52" s="11" t="s">
        <v>116</v>
      </c>
      <c r="C52" s="11"/>
      <c r="D52" s="58" t="s">
        <v>57</v>
      </c>
      <c r="E52" s="13"/>
      <c r="F52" s="13"/>
      <c r="G52" s="13"/>
      <c r="H52" s="13"/>
      <c r="I52" s="13"/>
      <c r="J52" s="13">
        <f t="shared" si="9"/>
        <v>0</v>
      </c>
      <c r="K52" s="13"/>
      <c r="L52" s="50">
        <f t="shared" si="11"/>
        <v>15</v>
      </c>
      <c r="M52" s="50" t="e">
        <f>MAX(15-#REF!*60*24*0.5,0)</f>
        <v>#REF!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 t="e">
        <f t="shared" si="12"/>
        <v>#REF!</v>
      </c>
      <c r="AA52" s="6" t="e">
        <f>RANK(Z52,TTLB)</f>
        <v>#REF!</v>
      </c>
    </row>
    <row r="53" spans="1:28" s="6" customFormat="1">
      <c r="A53" s="6" t="s">
        <v>115</v>
      </c>
      <c r="B53" s="11" t="s">
        <v>58</v>
      </c>
      <c r="C53" s="11"/>
      <c r="D53" s="49" t="s">
        <v>59</v>
      </c>
      <c r="E53" s="13"/>
      <c r="F53" s="13"/>
      <c r="G53" s="13"/>
      <c r="H53" s="13"/>
      <c r="I53" s="13"/>
      <c r="J53" s="13">
        <f t="shared" si="9"/>
        <v>0</v>
      </c>
      <c r="K53" s="13"/>
      <c r="L53" s="50">
        <f t="shared" si="11"/>
        <v>15</v>
      </c>
      <c r="M53" s="50" t="e">
        <f>MAX(15-#REF!*60*24*0.5,0)</f>
        <v>#REF!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 t="e">
        <f t="shared" si="12"/>
        <v>#REF!</v>
      </c>
      <c r="AA53" s="6" t="e">
        <f>RANK(Z53,TTLB)</f>
        <v>#REF!</v>
      </c>
    </row>
    <row r="54" spans="1:28" s="6" customFormat="1">
      <c r="A54" s="6" t="s">
        <v>115</v>
      </c>
      <c r="B54" s="11" t="s">
        <v>117</v>
      </c>
      <c r="C54" s="11"/>
      <c r="D54" s="49" t="s">
        <v>38</v>
      </c>
      <c r="E54" s="13"/>
      <c r="F54" s="13"/>
      <c r="G54" s="13"/>
      <c r="H54" s="13"/>
      <c r="I54" s="13"/>
      <c r="J54" s="13">
        <f t="shared" si="9"/>
        <v>0</v>
      </c>
      <c r="K54" s="13"/>
      <c r="L54" s="50">
        <f t="shared" si="11"/>
        <v>15</v>
      </c>
      <c r="M54" s="50" t="e">
        <f>MAX(15-#REF!*60*24*0.5,0)</f>
        <v>#REF!</v>
      </c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 t="e">
        <f t="shared" si="12"/>
        <v>#REF!</v>
      </c>
      <c r="AA54" s="6" t="e">
        <f>RANK(Z54,TTLB)</f>
        <v>#REF!</v>
      </c>
    </row>
    <row r="55" spans="1:28" s="6" customFormat="1">
      <c r="A55" s="6" t="s">
        <v>115</v>
      </c>
      <c r="B55" s="11" t="s">
        <v>62</v>
      </c>
      <c r="C55" s="11"/>
      <c r="D55" s="49" t="s">
        <v>63</v>
      </c>
      <c r="E55" s="13"/>
      <c r="F55" s="13"/>
      <c r="G55" s="13"/>
      <c r="H55" s="13"/>
      <c r="I55" s="13"/>
      <c r="J55" s="13">
        <f t="shared" si="9"/>
        <v>0</v>
      </c>
      <c r="K55" s="13"/>
      <c r="L55" s="50"/>
      <c r="M55" s="50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>
        <f t="shared" si="12"/>
        <v>0</v>
      </c>
    </row>
    <row r="56" spans="1:28" s="6" customFormat="1">
      <c r="A56" s="6" t="s">
        <v>115</v>
      </c>
      <c r="B56" s="11" t="s">
        <v>64</v>
      </c>
      <c r="C56" s="11"/>
      <c r="D56" s="49" t="s">
        <v>65</v>
      </c>
      <c r="E56" s="13"/>
      <c r="F56" s="13"/>
      <c r="G56" s="13"/>
      <c r="H56" s="13"/>
      <c r="I56" s="13"/>
      <c r="J56" s="13">
        <f t="shared" si="9"/>
        <v>0</v>
      </c>
      <c r="K56" s="13"/>
      <c r="L56" s="50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>
        <f t="shared" si="12"/>
        <v>0</v>
      </c>
    </row>
    <row r="57" spans="1:28" s="6" customFormat="1">
      <c r="A57" s="6" t="s">
        <v>115</v>
      </c>
      <c r="B57" s="11" t="s">
        <v>66</v>
      </c>
      <c r="C57" s="11"/>
      <c r="D57" s="49" t="s">
        <v>67</v>
      </c>
      <c r="E57" s="13"/>
      <c r="F57" s="13"/>
      <c r="G57" s="13"/>
      <c r="H57" s="13"/>
      <c r="I57" s="13"/>
      <c r="J57" s="13">
        <f t="shared" si="9"/>
        <v>0</v>
      </c>
      <c r="K57" s="13"/>
      <c r="L57" s="50"/>
      <c r="M57" s="50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>
        <f t="shared" si="12"/>
        <v>0</v>
      </c>
    </row>
    <row r="58" spans="1:28" s="6" customFormat="1">
      <c r="A58" s="6" t="s">
        <v>115</v>
      </c>
      <c r="B58" s="11" t="s">
        <v>27</v>
      </c>
      <c r="C58" s="11"/>
      <c r="D58" s="49" t="s">
        <v>70</v>
      </c>
      <c r="E58" s="13"/>
      <c r="F58" s="13"/>
      <c r="G58" s="13"/>
      <c r="H58" s="13"/>
      <c r="I58" s="13"/>
      <c r="J58" s="13">
        <f t="shared" si="9"/>
        <v>0</v>
      </c>
      <c r="K58" s="13"/>
      <c r="L58" s="50"/>
      <c r="M58" s="50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>
        <f t="shared" si="12"/>
        <v>0</v>
      </c>
    </row>
    <row r="59" spans="1:28" s="6" customFormat="1">
      <c r="A59" s="6" t="s">
        <v>115</v>
      </c>
      <c r="B59" s="11" t="s">
        <v>25</v>
      </c>
      <c r="C59" s="11"/>
      <c r="D59" s="49" t="s">
        <v>71</v>
      </c>
      <c r="E59" s="13"/>
      <c r="F59" s="13"/>
      <c r="G59" s="13"/>
      <c r="H59" s="13"/>
      <c r="I59" s="13"/>
      <c r="J59" s="13">
        <f t="shared" si="9"/>
        <v>0</v>
      </c>
      <c r="K59" s="13"/>
      <c r="L59" s="50"/>
      <c r="M59" s="50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>
        <f t="shared" si="12"/>
        <v>0</v>
      </c>
    </row>
    <row r="60" spans="1:28" s="6" customFormat="1">
      <c r="A60" s="6" t="s">
        <v>115</v>
      </c>
      <c r="B60" s="11" t="s">
        <v>72</v>
      </c>
      <c r="C60" s="11"/>
      <c r="D60" s="49" t="s">
        <v>73</v>
      </c>
      <c r="E60" s="13"/>
      <c r="F60" s="13"/>
      <c r="G60" s="13"/>
      <c r="H60" s="13"/>
      <c r="I60" s="13"/>
      <c r="J60" s="13">
        <f t="shared" si="9"/>
        <v>0</v>
      </c>
      <c r="K60" s="13"/>
      <c r="L60" s="50"/>
      <c r="M60" s="50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>
        <f t="shared" si="12"/>
        <v>0</v>
      </c>
    </row>
    <row r="61" spans="1:28" s="6" customFormat="1">
      <c r="A61" s="6" t="s">
        <v>115</v>
      </c>
      <c r="B61" s="11" t="s">
        <v>29</v>
      </c>
      <c r="C61" s="11"/>
      <c r="D61" s="49" t="s">
        <v>30</v>
      </c>
      <c r="E61" s="13"/>
      <c r="F61" s="13"/>
      <c r="G61" s="13"/>
      <c r="H61" s="13"/>
      <c r="I61" s="13"/>
      <c r="J61" s="13">
        <f t="shared" si="9"/>
        <v>0</v>
      </c>
      <c r="K61" s="13"/>
      <c r="L61" s="50"/>
      <c r="M61" s="50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>
        <f t="shared" si="12"/>
        <v>0</v>
      </c>
    </row>
    <row r="62" spans="1:28" s="6" customFormat="1">
      <c r="A62" s="6" t="s">
        <v>118</v>
      </c>
      <c r="B62" s="11" t="s">
        <v>23</v>
      </c>
      <c r="C62" s="11"/>
      <c r="D62" s="49" t="s">
        <v>74</v>
      </c>
      <c r="E62" s="13"/>
      <c r="F62" s="13"/>
      <c r="G62" s="13"/>
      <c r="H62" s="13"/>
      <c r="I62" s="13"/>
      <c r="J62" s="13">
        <f t="shared" si="9"/>
        <v>0</v>
      </c>
      <c r="K62" s="13"/>
      <c r="L62" s="50"/>
      <c r="M62" s="50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>
        <f t="shared" si="12"/>
        <v>0</v>
      </c>
    </row>
    <row r="63" spans="1:28" s="6" customFormat="1">
      <c r="A63" s="6" t="s">
        <v>118</v>
      </c>
      <c r="B63" s="11" t="s">
        <v>60</v>
      </c>
      <c r="C63" s="11"/>
      <c r="D63" s="49" t="s">
        <v>75</v>
      </c>
      <c r="E63" s="13"/>
      <c r="F63" s="13"/>
      <c r="G63" s="13"/>
      <c r="H63" s="13"/>
      <c r="I63" s="13"/>
      <c r="J63" s="13">
        <f t="shared" si="9"/>
        <v>0</v>
      </c>
      <c r="K63" s="13"/>
      <c r="L63" s="50"/>
      <c r="M63" s="50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>
        <f t="shared" si="12"/>
        <v>0</v>
      </c>
    </row>
    <row r="64" spans="1:28" s="6" customFormat="1">
      <c r="A64" s="6" t="s">
        <v>118</v>
      </c>
      <c r="B64" s="11" t="s">
        <v>55</v>
      </c>
      <c r="C64" s="11"/>
      <c r="D64" s="49" t="s">
        <v>76</v>
      </c>
      <c r="E64" s="13"/>
      <c r="F64" s="13"/>
      <c r="G64" s="13"/>
      <c r="H64" s="13"/>
      <c r="I64" s="13"/>
      <c r="J64" s="13">
        <f t="shared" si="9"/>
        <v>0</v>
      </c>
      <c r="K64" s="13"/>
      <c r="L64" s="50"/>
      <c r="M64" s="50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>
        <f t="shared" si="12"/>
        <v>0</v>
      </c>
    </row>
    <row r="65" spans="1:26" s="6" customFormat="1">
      <c r="A65" s="6" t="s">
        <v>118</v>
      </c>
      <c r="B65" s="11" t="s">
        <v>31</v>
      </c>
      <c r="C65" s="11"/>
      <c r="D65" s="49" t="s">
        <v>77</v>
      </c>
      <c r="E65" s="13"/>
      <c r="F65" s="13"/>
      <c r="G65" s="13"/>
      <c r="H65" s="13"/>
      <c r="I65" s="13"/>
      <c r="J65" s="13">
        <f t="shared" si="9"/>
        <v>0</v>
      </c>
      <c r="K65" s="13"/>
      <c r="L65" s="50"/>
      <c r="M65" s="50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>
        <f t="shared" si="12"/>
        <v>0</v>
      </c>
    </row>
    <row r="66" spans="1:26" s="6" customFormat="1">
      <c r="A66" s="6" t="s">
        <v>118</v>
      </c>
      <c r="B66" s="11" t="s">
        <v>68</v>
      </c>
      <c r="C66" s="11"/>
      <c r="D66" s="49" t="s">
        <v>78</v>
      </c>
      <c r="E66" s="13"/>
      <c r="F66" s="13"/>
      <c r="G66" s="13"/>
      <c r="H66" s="13"/>
      <c r="I66" s="13"/>
      <c r="J66" s="13">
        <f t="shared" si="9"/>
        <v>0</v>
      </c>
      <c r="K66" s="13"/>
      <c r="L66" s="50"/>
      <c r="M66" s="50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>
        <f t="shared" si="12"/>
        <v>0</v>
      </c>
    </row>
    <row r="67" spans="1:26" s="6" customFormat="1">
      <c r="A67" s="6" t="s">
        <v>118</v>
      </c>
      <c r="B67" s="11" t="s">
        <v>35</v>
      </c>
      <c r="C67" s="11"/>
      <c r="D67" s="49" t="s">
        <v>79</v>
      </c>
      <c r="E67" s="13"/>
      <c r="F67" s="13"/>
      <c r="G67" s="13"/>
      <c r="H67" s="13"/>
      <c r="I67" s="13"/>
      <c r="J67" s="13">
        <f t="shared" si="9"/>
        <v>0</v>
      </c>
      <c r="K67" s="13"/>
      <c r="L67" s="50"/>
      <c r="M67" s="50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>
        <f t="shared" si="12"/>
        <v>0</v>
      </c>
    </row>
    <row r="68" spans="1:26" s="6" customFormat="1">
      <c r="A68" s="6" t="s">
        <v>118</v>
      </c>
      <c r="B68" s="11" t="s">
        <v>27</v>
      </c>
      <c r="C68" s="11"/>
      <c r="D68" s="49" t="s">
        <v>49</v>
      </c>
      <c r="E68" s="13"/>
      <c r="F68" s="13"/>
      <c r="G68" s="13"/>
      <c r="H68" s="13"/>
      <c r="I68" s="13"/>
      <c r="J68" s="13">
        <f t="shared" si="9"/>
        <v>0</v>
      </c>
      <c r="K68" s="13"/>
      <c r="L68" s="50"/>
      <c r="M68" s="50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>
        <f t="shared" si="12"/>
        <v>0</v>
      </c>
    </row>
    <row r="69" spans="1:26" s="6" customFormat="1">
      <c r="A69" s="6" t="s">
        <v>118</v>
      </c>
      <c r="B69" s="11" t="s">
        <v>82</v>
      </c>
      <c r="C69" s="11"/>
      <c r="D69" s="49" t="s">
        <v>83</v>
      </c>
      <c r="E69" s="13"/>
      <c r="F69" s="13"/>
      <c r="G69" s="13"/>
      <c r="H69" s="13"/>
      <c r="I69" s="13"/>
      <c r="J69" s="13">
        <f t="shared" si="9"/>
        <v>0</v>
      </c>
      <c r="K69" s="13"/>
      <c r="L69" s="50"/>
      <c r="M69" s="50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>
        <f t="shared" si="12"/>
        <v>0</v>
      </c>
    </row>
    <row r="70" spans="1:26">
      <c r="L70" s="14"/>
      <c r="M70" s="14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</sheetData>
  <phoneticPr fontId="2"/>
  <pageMargins left="0.78700000000000003" right="0.78700000000000003" top="0.98399999999999999" bottom="0.98399999999999999" header="0.51200000000000001" footer="0.51200000000000001"/>
  <pageSetup paperSize="9" scale="77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BreakPreview" zoomScaleNormal="100" zoomScaleSheetLayoutView="100" workbookViewId="0">
      <selection activeCell="Y21" sqref="Y21"/>
    </sheetView>
  </sheetViews>
  <sheetFormatPr defaultColWidth="9" defaultRowHeight="13.5"/>
  <cols>
    <col min="1" max="1" width="3.375" bestFit="1" customWidth="1"/>
    <col min="2" max="2" width="11.375" bestFit="1" customWidth="1"/>
    <col min="3" max="3" width="6.5" bestFit="1" customWidth="1"/>
    <col min="4" max="11" width="6.5" hidden="1" customWidth="1"/>
    <col min="12" max="26" width="6.25" customWidth="1"/>
    <col min="27" max="27" width="15" bestFit="1" customWidth="1"/>
  </cols>
  <sheetData>
    <row r="1" spans="1:27" s="72" customFormat="1">
      <c r="A1" s="31" t="s">
        <v>84</v>
      </c>
      <c r="B1" s="32" t="s">
        <v>85</v>
      </c>
      <c r="C1" s="32" t="s">
        <v>225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0</v>
      </c>
      <c r="P1" s="36" t="s">
        <v>1</v>
      </c>
      <c r="Q1" s="36" t="s">
        <v>196</v>
      </c>
      <c r="R1" s="36" t="s">
        <v>297</v>
      </c>
      <c r="S1" s="36" t="s">
        <v>5</v>
      </c>
      <c r="T1" s="36" t="s">
        <v>139</v>
      </c>
      <c r="U1" s="36" t="s">
        <v>6</v>
      </c>
      <c r="V1" s="36" t="s">
        <v>7</v>
      </c>
      <c r="W1" s="36" t="s">
        <v>3</v>
      </c>
      <c r="X1" s="36" t="s">
        <v>9</v>
      </c>
      <c r="Y1" s="35" t="s">
        <v>10</v>
      </c>
      <c r="Z1" s="35" t="s">
        <v>89</v>
      </c>
      <c r="AA1" s="36" t="s">
        <v>92</v>
      </c>
    </row>
    <row r="2" spans="1:27">
      <c r="A2" s="37"/>
      <c r="B2" s="114" t="s">
        <v>299</v>
      </c>
      <c r="C2" s="39"/>
      <c r="D2" s="39"/>
      <c r="E2" s="40"/>
      <c r="F2" s="40"/>
      <c r="G2" s="40"/>
      <c r="H2" s="41"/>
      <c r="I2" s="41"/>
      <c r="J2" s="41"/>
      <c r="K2" s="41"/>
      <c r="L2" s="42">
        <v>30</v>
      </c>
      <c r="M2" s="42">
        <v>20</v>
      </c>
      <c r="N2" s="43">
        <v>5</v>
      </c>
      <c r="O2" s="43">
        <v>5</v>
      </c>
      <c r="P2" s="43">
        <v>5</v>
      </c>
      <c r="Q2" s="43">
        <v>4</v>
      </c>
      <c r="R2" s="43">
        <v>4</v>
      </c>
      <c r="S2" s="43">
        <v>4</v>
      </c>
      <c r="T2" s="43">
        <v>4</v>
      </c>
      <c r="U2" s="43">
        <v>2</v>
      </c>
      <c r="V2" s="43">
        <v>2</v>
      </c>
      <c r="W2" s="43">
        <v>10</v>
      </c>
      <c r="X2" s="43">
        <v>5</v>
      </c>
      <c r="Y2" s="42">
        <v>100</v>
      </c>
      <c r="Z2" s="42"/>
      <c r="AA2" s="113">
        <v>42253</v>
      </c>
    </row>
    <row r="3" spans="1:27">
      <c r="A3" s="3" t="s">
        <v>90</v>
      </c>
      <c r="B3" s="9" t="s">
        <v>180</v>
      </c>
      <c r="C3" s="10" t="s">
        <v>245</v>
      </c>
      <c r="D3" s="10"/>
      <c r="E3" s="16">
        <v>0.35138888888888892</v>
      </c>
      <c r="F3" s="16">
        <v>0.36918981481481478</v>
      </c>
      <c r="G3" s="16"/>
      <c r="H3" s="4">
        <v>2.4305555555555556E-2</v>
      </c>
      <c r="I3" s="4">
        <v>0.14583333333333334</v>
      </c>
      <c r="J3" s="4">
        <v>1.7800925925925859E-2</v>
      </c>
      <c r="K3" s="4">
        <v>-0.35138888888888892</v>
      </c>
      <c r="L3" s="5">
        <v>30</v>
      </c>
      <c r="M3" s="5">
        <v>20</v>
      </c>
      <c r="N3" s="17">
        <v>5</v>
      </c>
      <c r="O3" s="17">
        <v>5</v>
      </c>
      <c r="P3" s="17">
        <v>5</v>
      </c>
      <c r="Q3" s="17">
        <v>3.4</v>
      </c>
      <c r="R3" s="17">
        <v>3.6</v>
      </c>
      <c r="S3" s="17">
        <v>3.8</v>
      </c>
      <c r="T3" s="17">
        <v>3.2</v>
      </c>
      <c r="U3" s="17">
        <v>2</v>
      </c>
      <c r="V3" s="17">
        <v>2</v>
      </c>
      <c r="W3" s="17">
        <v>9</v>
      </c>
      <c r="X3" s="17">
        <v>5</v>
      </c>
      <c r="Y3" s="5">
        <v>97</v>
      </c>
      <c r="Z3" s="108">
        <v>1</v>
      </c>
      <c r="AA3" s="17"/>
    </row>
    <row r="4" spans="1:27">
      <c r="A4" s="3" t="s">
        <v>90</v>
      </c>
      <c r="B4" s="9" t="s">
        <v>260</v>
      </c>
      <c r="C4" s="10" t="s">
        <v>213</v>
      </c>
      <c r="D4" s="10"/>
      <c r="E4" s="16">
        <v>0.34722222222222227</v>
      </c>
      <c r="F4" s="16">
        <v>0.36371527777777773</v>
      </c>
      <c r="G4" s="16"/>
      <c r="H4" s="4">
        <v>2.4305555555555556E-2</v>
      </c>
      <c r="I4" s="4">
        <v>0.14583333333333334</v>
      </c>
      <c r="J4" s="4">
        <v>1.6493055555555469E-2</v>
      </c>
      <c r="K4" s="4">
        <v>-0.34722222222222227</v>
      </c>
      <c r="L4" s="5">
        <v>30</v>
      </c>
      <c r="M4" s="5">
        <v>20</v>
      </c>
      <c r="N4" s="17">
        <v>5</v>
      </c>
      <c r="O4" s="17">
        <v>5</v>
      </c>
      <c r="P4" s="17">
        <v>5</v>
      </c>
      <c r="Q4" s="17">
        <v>3.2</v>
      </c>
      <c r="R4" s="17">
        <v>3.6</v>
      </c>
      <c r="S4" s="17">
        <v>3.4</v>
      </c>
      <c r="T4" s="17">
        <v>3.7</v>
      </c>
      <c r="U4" s="17">
        <v>2</v>
      </c>
      <c r="V4" s="17">
        <v>2</v>
      </c>
      <c r="W4" s="17">
        <v>7.5</v>
      </c>
      <c r="X4" s="17">
        <v>5</v>
      </c>
      <c r="Y4" s="5">
        <v>95.4</v>
      </c>
      <c r="Z4" s="108">
        <v>2</v>
      </c>
      <c r="AA4" s="17"/>
    </row>
    <row r="5" spans="1:27">
      <c r="A5" s="3" t="s">
        <v>90</v>
      </c>
      <c r="B5" s="9" t="s">
        <v>146</v>
      </c>
      <c r="C5" s="10" t="s">
        <v>241</v>
      </c>
      <c r="D5" s="10"/>
      <c r="E5" s="16">
        <v>0.34861111111111115</v>
      </c>
      <c r="F5" s="16">
        <v>0.37216435185185182</v>
      </c>
      <c r="G5" s="16"/>
      <c r="H5" s="4">
        <v>2.4305555555555556E-2</v>
      </c>
      <c r="I5" s="4">
        <v>0.14583333333333334</v>
      </c>
      <c r="J5" s="4">
        <v>2.3553240740740666E-2</v>
      </c>
      <c r="K5" s="4">
        <v>-0.34861111111111115</v>
      </c>
      <c r="L5" s="5">
        <v>30</v>
      </c>
      <c r="M5" s="5">
        <v>20</v>
      </c>
      <c r="N5" s="17">
        <v>4</v>
      </c>
      <c r="O5" s="17">
        <v>4.5</v>
      </c>
      <c r="P5" s="17">
        <v>5</v>
      </c>
      <c r="Q5" s="17">
        <v>3.3</v>
      </c>
      <c r="R5" s="17">
        <v>3.4</v>
      </c>
      <c r="S5" s="17">
        <v>2.2000000000000002</v>
      </c>
      <c r="T5" s="17">
        <v>3.6</v>
      </c>
      <c r="U5" s="17">
        <v>1.6</v>
      </c>
      <c r="V5" s="17">
        <v>2</v>
      </c>
      <c r="W5" s="17">
        <v>9.5</v>
      </c>
      <c r="X5" s="17">
        <v>5</v>
      </c>
      <c r="Y5" s="5">
        <v>94.1</v>
      </c>
      <c r="Z5" s="108">
        <v>3</v>
      </c>
      <c r="AA5" s="17"/>
    </row>
    <row r="6" spans="1:27">
      <c r="A6" s="3" t="s">
        <v>90</v>
      </c>
      <c r="B6" s="9" t="s">
        <v>227</v>
      </c>
      <c r="C6" s="10" t="s">
        <v>214</v>
      </c>
      <c r="D6" s="10"/>
      <c r="E6" s="16">
        <v>0.34791666666666665</v>
      </c>
      <c r="F6" s="16">
        <v>0.36674768518518519</v>
      </c>
      <c r="G6" s="16"/>
      <c r="H6" s="4">
        <v>2.4305555555555556E-2</v>
      </c>
      <c r="I6" s="4">
        <v>0.14583333333333334</v>
      </c>
      <c r="J6" s="4">
        <v>1.8831018518518539E-2</v>
      </c>
      <c r="K6" s="4">
        <v>-0.34791666666666665</v>
      </c>
      <c r="L6" s="5">
        <v>30</v>
      </c>
      <c r="M6" s="5">
        <v>20</v>
      </c>
      <c r="N6" s="17">
        <v>5</v>
      </c>
      <c r="O6" s="17">
        <v>4.5</v>
      </c>
      <c r="P6" s="17">
        <v>5</v>
      </c>
      <c r="Q6" s="17">
        <v>2.2000000000000002</v>
      </c>
      <c r="R6" s="17">
        <v>3.4</v>
      </c>
      <c r="S6" s="17">
        <v>4</v>
      </c>
      <c r="T6" s="17">
        <v>3</v>
      </c>
      <c r="U6" s="17">
        <v>1.8</v>
      </c>
      <c r="V6" s="17">
        <v>1.5</v>
      </c>
      <c r="W6" s="17">
        <v>8</v>
      </c>
      <c r="X6" s="17">
        <v>5</v>
      </c>
      <c r="Y6" s="5">
        <v>93.4</v>
      </c>
      <c r="Z6" s="108">
        <v>4</v>
      </c>
      <c r="AA6" s="17"/>
    </row>
    <row r="7" spans="1:27">
      <c r="A7" s="3" t="s">
        <v>90</v>
      </c>
      <c r="B7" s="92" t="s">
        <v>165</v>
      </c>
      <c r="C7" s="73" t="s">
        <v>244</v>
      </c>
      <c r="D7" s="73"/>
      <c r="E7" s="93">
        <v>0.35069444444444442</v>
      </c>
      <c r="F7" s="93">
        <v>0.37060185185185185</v>
      </c>
      <c r="G7" s="93"/>
      <c r="H7" s="4">
        <v>2.4305555555555556E-2</v>
      </c>
      <c r="I7" s="4">
        <v>0.14583333333333334</v>
      </c>
      <c r="J7" s="94">
        <v>1.9907407407407429E-2</v>
      </c>
      <c r="K7" s="94">
        <v>-0.35069444444444442</v>
      </c>
      <c r="L7" s="5">
        <v>30</v>
      </c>
      <c r="M7" s="5">
        <v>20</v>
      </c>
      <c r="N7" s="74">
        <v>4.5</v>
      </c>
      <c r="O7" s="74">
        <v>4.5</v>
      </c>
      <c r="P7" s="74">
        <v>5</v>
      </c>
      <c r="Q7" s="74">
        <v>2.7</v>
      </c>
      <c r="R7" s="74">
        <v>3</v>
      </c>
      <c r="S7" s="74">
        <v>2.4</v>
      </c>
      <c r="T7" s="74">
        <v>3.1</v>
      </c>
      <c r="U7" s="74">
        <v>1.8</v>
      </c>
      <c r="V7" s="74">
        <v>1</v>
      </c>
      <c r="W7" s="74">
        <v>8</v>
      </c>
      <c r="X7" s="74">
        <v>5</v>
      </c>
      <c r="Y7" s="5">
        <v>91</v>
      </c>
      <c r="Z7" s="108">
        <v>5</v>
      </c>
      <c r="AA7" s="74"/>
    </row>
    <row r="8" spans="1:27">
      <c r="A8" s="3" t="s">
        <v>90</v>
      </c>
      <c r="B8" s="92" t="s">
        <v>300</v>
      </c>
      <c r="C8" s="73" t="s">
        <v>242</v>
      </c>
      <c r="D8" s="73"/>
      <c r="E8" s="93">
        <v>0.34930555555555554</v>
      </c>
      <c r="F8" s="93">
        <v>0.37287037037037035</v>
      </c>
      <c r="G8" s="93"/>
      <c r="H8" s="4">
        <v>2.4305555555555556E-2</v>
      </c>
      <c r="I8" s="4">
        <v>0.14583333333333334</v>
      </c>
      <c r="J8" s="94">
        <v>2.3564814814814816E-2</v>
      </c>
      <c r="K8" s="94">
        <v>-0.34930555555555554</v>
      </c>
      <c r="L8" s="5">
        <v>30</v>
      </c>
      <c r="M8" s="5">
        <v>20</v>
      </c>
      <c r="N8" s="74">
        <v>4.5</v>
      </c>
      <c r="O8" s="74">
        <v>4.3</v>
      </c>
      <c r="P8" s="74">
        <v>4.5</v>
      </c>
      <c r="Q8" s="74">
        <v>1.2</v>
      </c>
      <c r="R8" s="74">
        <v>3.8</v>
      </c>
      <c r="S8" s="74">
        <v>2.6</v>
      </c>
      <c r="T8" s="74">
        <v>3.1</v>
      </c>
      <c r="U8" s="74">
        <v>2</v>
      </c>
      <c r="V8" s="74">
        <v>0.5</v>
      </c>
      <c r="W8" s="74">
        <v>7</v>
      </c>
      <c r="X8" s="74">
        <v>5</v>
      </c>
      <c r="Y8" s="5">
        <v>88.499999999999986</v>
      </c>
      <c r="Z8" s="108">
        <v>6</v>
      </c>
      <c r="AA8" s="74"/>
    </row>
    <row r="9" spans="1:27" ht="14.25" thickBot="1">
      <c r="A9" s="63" t="s">
        <v>90</v>
      </c>
      <c r="B9" s="64" t="s">
        <v>183</v>
      </c>
      <c r="C9" s="65" t="s">
        <v>243</v>
      </c>
      <c r="D9" s="65"/>
      <c r="E9" s="66">
        <v>0.35000000000000003</v>
      </c>
      <c r="F9" s="66">
        <v>0.36984953703703699</v>
      </c>
      <c r="G9" s="66"/>
      <c r="H9" s="67">
        <v>2.4305555555555556E-2</v>
      </c>
      <c r="I9" s="67">
        <v>0.14583333333333334</v>
      </c>
      <c r="J9" s="67">
        <v>1.9849537037036957E-2</v>
      </c>
      <c r="K9" s="67">
        <v>-0.35000000000000003</v>
      </c>
      <c r="L9" s="68">
        <v>30</v>
      </c>
      <c r="M9" s="68">
        <v>20</v>
      </c>
      <c r="N9" s="69">
        <v>3.1</v>
      </c>
      <c r="O9" s="69">
        <v>3.3</v>
      </c>
      <c r="P9" s="69">
        <v>4</v>
      </c>
      <c r="Q9" s="69">
        <v>0.5</v>
      </c>
      <c r="R9" s="69">
        <v>3</v>
      </c>
      <c r="S9" s="69">
        <v>2.6</v>
      </c>
      <c r="T9" s="69">
        <v>2.7</v>
      </c>
      <c r="U9" s="69">
        <v>1</v>
      </c>
      <c r="V9" s="69">
        <v>0.5</v>
      </c>
      <c r="W9" s="69">
        <v>7</v>
      </c>
      <c r="X9" s="69">
        <v>5</v>
      </c>
      <c r="Y9" s="68">
        <v>82.7</v>
      </c>
      <c r="Z9" s="109">
        <v>7</v>
      </c>
      <c r="AA9" s="69"/>
    </row>
    <row r="10" spans="1:27">
      <c r="A10" s="8" t="s">
        <v>93</v>
      </c>
      <c r="B10" s="18" t="s">
        <v>305</v>
      </c>
      <c r="C10" s="19" t="s">
        <v>256</v>
      </c>
      <c r="D10" s="19"/>
      <c r="E10" s="20">
        <v>0.35763888888888901</v>
      </c>
      <c r="F10" s="20">
        <v>0.37576388888888884</v>
      </c>
      <c r="G10" s="20"/>
      <c r="H10" s="21">
        <v>2.4305555555555556E-2</v>
      </c>
      <c r="I10" s="21">
        <v>0.14583333333333334</v>
      </c>
      <c r="J10" s="21">
        <v>1.8124999999999836E-2</v>
      </c>
      <c r="K10" s="21">
        <v>-0.35763888888888901</v>
      </c>
      <c r="L10" s="22">
        <v>30</v>
      </c>
      <c r="M10" s="22">
        <v>20</v>
      </c>
      <c r="N10" s="23">
        <v>5</v>
      </c>
      <c r="O10" s="23">
        <v>5</v>
      </c>
      <c r="P10" s="23">
        <v>5</v>
      </c>
      <c r="Q10" s="23">
        <v>3.9</v>
      </c>
      <c r="R10" s="23">
        <v>3.8</v>
      </c>
      <c r="S10" s="23">
        <v>3.6</v>
      </c>
      <c r="T10" s="23">
        <v>4</v>
      </c>
      <c r="U10" s="23">
        <v>2</v>
      </c>
      <c r="V10" s="23">
        <v>2</v>
      </c>
      <c r="W10" s="23">
        <v>10</v>
      </c>
      <c r="X10" s="23">
        <v>5</v>
      </c>
      <c r="Y10" s="22">
        <v>99.3</v>
      </c>
      <c r="Z10" s="110">
        <v>1</v>
      </c>
      <c r="AA10" s="23"/>
    </row>
    <row r="11" spans="1:27">
      <c r="A11" s="3" t="s">
        <v>93</v>
      </c>
      <c r="B11" s="9" t="s">
        <v>304</v>
      </c>
      <c r="C11" s="10" t="s">
        <v>255</v>
      </c>
      <c r="D11" s="10"/>
      <c r="E11" s="16">
        <v>0.35694444444444501</v>
      </c>
      <c r="F11" s="16">
        <v>0.37608796296296299</v>
      </c>
      <c r="G11" s="16"/>
      <c r="H11" s="4">
        <v>2.4305555555555556E-2</v>
      </c>
      <c r="I11" s="4">
        <v>0.14583333333333334</v>
      </c>
      <c r="J11" s="4">
        <v>1.9143518518517977E-2</v>
      </c>
      <c r="K11" s="4">
        <v>-0.35694444444444501</v>
      </c>
      <c r="L11" s="5">
        <v>30</v>
      </c>
      <c r="M11" s="5">
        <v>20</v>
      </c>
      <c r="N11" s="17">
        <v>4.5</v>
      </c>
      <c r="O11" s="17">
        <v>5</v>
      </c>
      <c r="P11" s="17">
        <v>5</v>
      </c>
      <c r="Q11" s="17">
        <v>3.6</v>
      </c>
      <c r="R11" s="17">
        <v>4</v>
      </c>
      <c r="S11" s="17">
        <v>3.8</v>
      </c>
      <c r="T11" s="17">
        <v>3.5</v>
      </c>
      <c r="U11" s="17">
        <v>2</v>
      </c>
      <c r="V11" s="17">
        <v>2</v>
      </c>
      <c r="W11" s="17">
        <v>10</v>
      </c>
      <c r="X11" s="17">
        <v>5</v>
      </c>
      <c r="Y11" s="5">
        <v>98.399999999999991</v>
      </c>
      <c r="Z11" s="108">
        <v>2</v>
      </c>
      <c r="AA11" s="17"/>
    </row>
    <row r="12" spans="1:27">
      <c r="A12" s="3" t="s">
        <v>93</v>
      </c>
      <c r="B12" s="9" t="s">
        <v>306</v>
      </c>
      <c r="C12" s="19" t="s">
        <v>257</v>
      </c>
      <c r="D12" s="10"/>
      <c r="E12" s="16">
        <v>0.358333333333334</v>
      </c>
      <c r="F12" s="16">
        <v>0.37707175925925923</v>
      </c>
      <c r="G12" s="16"/>
      <c r="H12" s="4">
        <v>2.4305555555555556E-2</v>
      </c>
      <c r="I12" s="4">
        <v>0.14583333333333334</v>
      </c>
      <c r="J12" s="4">
        <v>1.8738425925925228E-2</v>
      </c>
      <c r="K12" s="4">
        <v>-0.358333333333334</v>
      </c>
      <c r="L12" s="5">
        <v>30</v>
      </c>
      <c r="M12" s="5">
        <v>20</v>
      </c>
      <c r="N12" s="17">
        <v>5</v>
      </c>
      <c r="O12" s="17">
        <v>5</v>
      </c>
      <c r="P12" s="17">
        <v>5</v>
      </c>
      <c r="Q12" s="17">
        <v>2.6</v>
      </c>
      <c r="R12" s="17">
        <v>4</v>
      </c>
      <c r="S12" s="17">
        <v>3.8</v>
      </c>
      <c r="T12" s="17">
        <v>3.5</v>
      </c>
      <c r="U12" s="17">
        <v>1.6</v>
      </c>
      <c r="V12" s="17">
        <v>2</v>
      </c>
      <c r="W12" s="17">
        <v>10</v>
      </c>
      <c r="X12" s="17">
        <v>5</v>
      </c>
      <c r="Y12" s="5">
        <v>97.499999999999986</v>
      </c>
      <c r="Z12" s="108">
        <v>3</v>
      </c>
      <c r="AA12" s="17"/>
    </row>
    <row r="13" spans="1:27">
      <c r="A13" s="3" t="s">
        <v>93</v>
      </c>
      <c r="B13" s="9" t="s">
        <v>234</v>
      </c>
      <c r="C13" s="10" t="s">
        <v>252</v>
      </c>
      <c r="D13" s="10"/>
      <c r="E13" s="16">
        <v>0.35486111111111102</v>
      </c>
      <c r="F13" s="16">
        <v>0.37695601851851851</v>
      </c>
      <c r="G13" s="16"/>
      <c r="H13" s="4">
        <v>2.4305555555555556E-2</v>
      </c>
      <c r="I13" s="4">
        <v>0.14583333333333334</v>
      </c>
      <c r="J13" s="4">
        <v>2.2094907407407494E-2</v>
      </c>
      <c r="K13" s="4">
        <v>-0.35486111111111102</v>
      </c>
      <c r="L13" s="5">
        <v>30</v>
      </c>
      <c r="M13" s="5">
        <v>20</v>
      </c>
      <c r="N13" s="17">
        <v>4</v>
      </c>
      <c r="O13" s="17">
        <v>4.8</v>
      </c>
      <c r="P13" s="17">
        <v>4.5</v>
      </c>
      <c r="Q13" s="17">
        <v>3.4</v>
      </c>
      <c r="R13" s="17">
        <v>3.2</v>
      </c>
      <c r="S13" s="17">
        <v>3.2</v>
      </c>
      <c r="T13" s="17">
        <v>2.8</v>
      </c>
      <c r="U13" s="17">
        <v>1.6</v>
      </c>
      <c r="V13" s="17">
        <v>2</v>
      </c>
      <c r="W13" s="17">
        <v>9</v>
      </c>
      <c r="X13" s="17">
        <v>5</v>
      </c>
      <c r="Y13" s="5">
        <v>93.5</v>
      </c>
      <c r="Z13" s="108">
        <v>4</v>
      </c>
      <c r="AA13" s="17"/>
    </row>
    <row r="14" spans="1:27">
      <c r="A14" s="3" t="s">
        <v>93</v>
      </c>
      <c r="B14" s="9" t="s">
        <v>301</v>
      </c>
      <c r="C14" s="19" t="s">
        <v>250</v>
      </c>
      <c r="D14" s="10"/>
      <c r="E14" s="16">
        <v>0.35347222222222202</v>
      </c>
      <c r="F14" s="16">
        <v>0.37322916666666667</v>
      </c>
      <c r="G14" s="16"/>
      <c r="H14" s="4">
        <v>2.4305555555555556E-2</v>
      </c>
      <c r="I14" s="4">
        <v>0.14583333333333334</v>
      </c>
      <c r="J14" s="4">
        <v>1.9756944444444646E-2</v>
      </c>
      <c r="K14" s="4">
        <v>-0.35347222222222202</v>
      </c>
      <c r="L14" s="5">
        <v>30</v>
      </c>
      <c r="M14" s="5">
        <v>20</v>
      </c>
      <c r="N14" s="17">
        <v>5</v>
      </c>
      <c r="O14" s="17">
        <v>4.5</v>
      </c>
      <c r="P14" s="17">
        <v>4.5</v>
      </c>
      <c r="Q14" s="17">
        <v>3.5</v>
      </c>
      <c r="R14" s="17">
        <v>4</v>
      </c>
      <c r="S14" s="17">
        <v>3.6</v>
      </c>
      <c r="T14" s="17">
        <v>2.7</v>
      </c>
      <c r="U14" s="17">
        <v>2</v>
      </c>
      <c r="V14" s="17">
        <v>2</v>
      </c>
      <c r="W14" s="17">
        <v>6</v>
      </c>
      <c r="X14" s="17">
        <v>5</v>
      </c>
      <c r="Y14" s="5">
        <v>92.8</v>
      </c>
      <c r="Z14" s="108">
        <v>5</v>
      </c>
      <c r="AA14" s="17"/>
    </row>
    <row r="15" spans="1:27">
      <c r="A15" s="3" t="s">
        <v>93</v>
      </c>
      <c r="B15" s="9" t="s">
        <v>303</v>
      </c>
      <c r="C15" s="10" t="s">
        <v>254</v>
      </c>
      <c r="D15" s="10"/>
      <c r="E15" s="16">
        <v>0.35625000000000001</v>
      </c>
      <c r="F15" s="16">
        <v>0.37846064814814812</v>
      </c>
      <c r="G15" s="16"/>
      <c r="H15" s="4">
        <v>2.4305555555555556E-2</v>
      </c>
      <c r="I15" s="4">
        <v>0.14583333333333334</v>
      </c>
      <c r="J15" s="4">
        <v>2.2210648148148104E-2</v>
      </c>
      <c r="K15" s="4">
        <v>-0.35625000000000001</v>
      </c>
      <c r="L15" s="5">
        <v>30</v>
      </c>
      <c r="M15" s="5">
        <v>20</v>
      </c>
      <c r="N15" s="17">
        <v>3.6</v>
      </c>
      <c r="O15" s="17">
        <v>4</v>
      </c>
      <c r="P15" s="17">
        <v>5</v>
      </c>
      <c r="Q15" s="17">
        <v>1.9</v>
      </c>
      <c r="R15" s="17">
        <v>4</v>
      </c>
      <c r="S15" s="17">
        <v>3.4</v>
      </c>
      <c r="T15" s="17">
        <v>3.4</v>
      </c>
      <c r="U15" s="17">
        <v>1.6</v>
      </c>
      <c r="V15" s="17">
        <v>1.5</v>
      </c>
      <c r="W15" s="17">
        <v>8</v>
      </c>
      <c r="X15" s="17">
        <v>5</v>
      </c>
      <c r="Y15" s="5">
        <v>91.4</v>
      </c>
      <c r="Z15" s="108">
        <v>6</v>
      </c>
      <c r="AA15" s="17"/>
    </row>
    <row r="16" spans="1:27">
      <c r="A16" s="3" t="s">
        <v>93</v>
      </c>
      <c r="B16" s="9" t="s">
        <v>182</v>
      </c>
      <c r="C16" s="19" t="s">
        <v>248</v>
      </c>
      <c r="D16" s="10"/>
      <c r="E16" s="16">
        <v>0.3520833333333333</v>
      </c>
      <c r="F16" s="16">
        <v>0.37158564814814815</v>
      </c>
      <c r="G16" s="16"/>
      <c r="H16" s="4">
        <v>2.4305555555555556E-2</v>
      </c>
      <c r="I16" s="4">
        <v>0.14583333333333334</v>
      </c>
      <c r="J16" s="4">
        <v>1.9502314814814847E-2</v>
      </c>
      <c r="K16" s="4">
        <v>-0.3520833333333333</v>
      </c>
      <c r="L16" s="5">
        <v>30</v>
      </c>
      <c r="M16" s="5">
        <v>20</v>
      </c>
      <c r="N16" s="17">
        <v>3.5</v>
      </c>
      <c r="O16" s="17">
        <v>3.3</v>
      </c>
      <c r="P16" s="17">
        <v>5</v>
      </c>
      <c r="Q16" s="17">
        <v>2</v>
      </c>
      <c r="R16" s="17">
        <v>3.8</v>
      </c>
      <c r="S16" s="17">
        <v>3.4</v>
      </c>
      <c r="T16" s="17">
        <v>2.9</v>
      </c>
      <c r="U16" s="17">
        <v>2</v>
      </c>
      <c r="V16" s="17">
        <v>2</v>
      </c>
      <c r="W16" s="17">
        <v>7</v>
      </c>
      <c r="X16" s="17">
        <v>5</v>
      </c>
      <c r="Y16" s="5">
        <v>89.9</v>
      </c>
      <c r="Z16" s="108">
        <v>7</v>
      </c>
      <c r="AA16" s="17"/>
    </row>
    <row r="17" spans="1:27">
      <c r="A17" s="3" t="s">
        <v>93</v>
      </c>
      <c r="B17" s="9" t="s">
        <v>233</v>
      </c>
      <c r="C17" s="10" t="s">
        <v>253</v>
      </c>
      <c r="D17" s="10"/>
      <c r="E17" s="16">
        <v>0.35555555555555601</v>
      </c>
      <c r="F17" s="16">
        <v>0.37700231481481478</v>
      </c>
      <c r="G17" s="16"/>
      <c r="H17" s="4">
        <v>2.4305555555555556E-2</v>
      </c>
      <c r="I17" s="4">
        <v>0.14583333333333334</v>
      </c>
      <c r="J17" s="4">
        <v>2.1446759259258763E-2</v>
      </c>
      <c r="K17" s="4">
        <v>-0.35555555555555601</v>
      </c>
      <c r="L17" s="5">
        <v>30</v>
      </c>
      <c r="M17" s="5">
        <v>20</v>
      </c>
      <c r="N17" s="17">
        <v>4.3</v>
      </c>
      <c r="O17" s="17">
        <v>4.5</v>
      </c>
      <c r="P17" s="17">
        <v>5</v>
      </c>
      <c r="Q17" s="17">
        <v>1</v>
      </c>
      <c r="R17" s="17">
        <v>1.6</v>
      </c>
      <c r="S17" s="17">
        <v>3.8</v>
      </c>
      <c r="T17" s="17">
        <v>3</v>
      </c>
      <c r="U17" s="17">
        <v>1</v>
      </c>
      <c r="V17" s="17">
        <v>2</v>
      </c>
      <c r="W17" s="17">
        <v>6</v>
      </c>
      <c r="X17" s="17">
        <v>5</v>
      </c>
      <c r="Y17" s="5">
        <v>87.199999999999989</v>
      </c>
      <c r="Z17" s="108">
        <v>8</v>
      </c>
      <c r="AA17" s="17"/>
    </row>
    <row r="18" spans="1:27">
      <c r="A18" s="3" t="s">
        <v>93</v>
      </c>
      <c r="B18" s="9" t="s">
        <v>165</v>
      </c>
      <c r="C18" s="19" t="s">
        <v>249</v>
      </c>
      <c r="D18" s="10"/>
      <c r="E18" s="16">
        <v>0.3527777777777778</v>
      </c>
      <c r="F18" s="16">
        <v>0.37155092592592592</v>
      </c>
      <c r="G18" s="16"/>
      <c r="H18" s="4">
        <v>2.4305555555555556E-2</v>
      </c>
      <c r="I18" s="4">
        <v>0.14583333333333334</v>
      </c>
      <c r="J18" s="4">
        <v>1.8773148148148122E-2</v>
      </c>
      <c r="K18" s="4">
        <v>-0.3527777777777778</v>
      </c>
      <c r="L18" s="5">
        <v>30</v>
      </c>
      <c r="M18" s="5">
        <v>20</v>
      </c>
      <c r="N18" s="17">
        <v>4.5</v>
      </c>
      <c r="O18" s="17">
        <v>5</v>
      </c>
      <c r="P18" s="17">
        <v>5</v>
      </c>
      <c r="Q18" s="17">
        <v>2.2999999999999998</v>
      </c>
      <c r="R18" s="17">
        <v>2.2000000000000002</v>
      </c>
      <c r="S18" s="17">
        <v>1.6</v>
      </c>
      <c r="T18" s="17">
        <v>2.9</v>
      </c>
      <c r="U18" s="17">
        <v>1.2</v>
      </c>
      <c r="V18" s="17">
        <v>0.5</v>
      </c>
      <c r="W18" s="17">
        <v>4</v>
      </c>
      <c r="X18" s="17">
        <v>5</v>
      </c>
      <c r="Y18" s="5">
        <v>84.2</v>
      </c>
      <c r="Z18" s="108">
        <v>9</v>
      </c>
      <c r="AA18" s="17"/>
    </row>
    <row r="19" spans="1:27">
      <c r="A19" s="3" t="s">
        <v>93</v>
      </c>
      <c r="B19" s="9" t="s">
        <v>302</v>
      </c>
      <c r="C19" s="10" t="s">
        <v>251</v>
      </c>
      <c r="D19" s="10"/>
      <c r="E19" s="16">
        <v>0.35416666666666702</v>
      </c>
      <c r="F19" s="16">
        <v>0.3759953703703704</v>
      </c>
      <c r="G19" s="16"/>
      <c r="H19" s="4">
        <v>2.4305555555555556E-2</v>
      </c>
      <c r="I19" s="4">
        <v>0.14583333333333334</v>
      </c>
      <c r="J19" s="4">
        <v>2.1828703703703378E-2</v>
      </c>
      <c r="K19" s="4">
        <v>-0.35416666666666702</v>
      </c>
      <c r="L19" s="5">
        <v>30</v>
      </c>
      <c r="M19" s="5">
        <v>20</v>
      </c>
      <c r="N19" s="17">
        <v>4.5</v>
      </c>
      <c r="O19" s="17">
        <v>5</v>
      </c>
      <c r="P19" s="17">
        <v>4</v>
      </c>
      <c r="Q19" s="17">
        <v>1.2</v>
      </c>
      <c r="R19" s="17">
        <v>2.2000000000000002</v>
      </c>
      <c r="S19" s="17">
        <v>1.4</v>
      </c>
      <c r="T19" s="17">
        <v>0.9</v>
      </c>
      <c r="U19" s="17">
        <v>0.4</v>
      </c>
      <c r="V19" s="17">
        <v>1</v>
      </c>
      <c r="W19" s="17">
        <v>5.5</v>
      </c>
      <c r="X19" s="17">
        <v>5</v>
      </c>
      <c r="Y19" s="5">
        <v>81.100000000000023</v>
      </c>
      <c r="Z19" s="108">
        <v>10</v>
      </c>
      <c r="AA19" s="17"/>
    </row>
    <row r="20" spans="1:27" ht="14.25" thickBot="1">
      <c r="A20" s="3" t="s">
        <v>93</v>
      </c>
      <c r="B20" s="9" t="s">
        <v>229</v>
      </c>
      <c r="C20" s="19" t="s">
        <v>247</v>
      </c>
      <c r="D20" s="10"/>
      <c r="E20" s="16"/>
      <c r="F20" s="16"/>
      <c r="G20" s="16"/>
      <c r="H20" s="4">
        <v>2.4305555555555556E-2</v>
      </c>
      <c r="I20" s="4">
        <v>0.14583333333333334</v>
      </c>
      <c r="J20" s="4">
        <v>0</v>
      </c>
      <c r="K20" s="4">
        <v>0</v>
      </c>
      <c r="L20" s="5">
        <v>0</v>
      </c>
      <c r="M20" s="5">
        <v>0</v>
      </c>
      <c r="N20" s="17">
        <v>2.8</v>
      </c>
      <c r="O20" s="17">
        <v>4.3</v>
      </c>
      <c r="P20" s="17">
        <v>5</v>
      </c>
      <c r="Q20" s="17">
        <v>2.2999999999999998</v>
      </c>
      <c r="R20" s="17">
        <v>2.2000000000000002</v>
      </c>
      <c r="S20" s="17">
        <v>2.6</v>
      </c>
      <c r="T20" s="17">
        <v>2.6</v>
      </c>
      <c r="U20" s="17">
        <v>1.4</v>
      </c>
      <c r="V20" s="17">
        <v>0</v>
      </c>
      <c r="W20" s="17"/>
      <c r="X20" s="17">
        <v>4</v>
      </c>
      <c r="Y20" s="5">
        <v>27.2</v>
      </c>
      <c r="Z20" s="108">
        <v>11</v>
      </c>
      <c r="AA20" s="17" t="s">
        <v>188</v>
      </c>
    </row>
    <row r="21" spans="1:27" ht="14.25" thickTop="1">
      <c r="A21" s="101" t="s">
        <v>91</v>
      </c>
      <c r="B21" s="102" t="s">
        <v>227</v>
      </c>
      <c r="C21" s="103" t="s">
        <v>199</v>
      </c>
      <c r="D21" s="103"/>
      <c r="E21" s="104">
        <v>0.36041666666666666</v>
      </c>
      <c r="F21" s="104">
        <v>0.38517361111111109</v>
      </c>
      <c r="G21" s="104"/>
      <c r="H21" s="105">
        <v>3.125E-2</v>
      </c>
      <c r="I21" s="105">
        <v>0.16666666666666666</v>
      </c>
      <c r="J21" s="105">
        <v>2.4756944444444429E-2</v>
      </c>
      <c r="K21" s="105">
        <v>-0.36041666666666666</v>
      </c>
      <c r="L21" s="106">
        <v>30</v>
      </c>
      <c r="M21" s="106">
        <v>20</v>
      </c>
      <c r="N21" s="107">
        <v>5</v>
      </c>
      <c r="O21" s="107">
        <v>4.5</v>
      </c>
      <c r="P21" s="107">
        <v>5</v>
      </c>
      <c r="Q21" s="107">
        <v>3.9</v>
      </c>
      <c r="R21" s="107">
        <v>3.8</v>
      </c>
      <c r="S21" s="107">
        <v>4</v>
      </c>
      <c r="T21" s="107">
        <v>3.3</v>
      </c>
      <c r="U21" s="107">
        <v>2</v>
      </c>
      <c r="V21" s="107">
        <v>2</v>
      </c>
      <c r="W21" s="107">
        <v>9</v>
      </c>
      <c r="X21" s="107">
        <v>5</v>
      </c>
      <c r="Y21" s="106">
        <v>97.5</v>
      </c>
      <c r="Z21" s="111">
        <v>1</v>
      </c>
      <c r="AA21" s="107"/>
    </row>
    <row r="22" spans="1:27">
      <c r="A22" s="3" t="s">
        <v>91</v>
      </c>
      <c r="B22" s="9" t="s">
        <v>287</v>
      </c>
      <c r="C22" s="10" t="s">
        <v>197</v>
      </c>
      <c r="D22" s="10"/>
      <c r="E22" s="16">
        <v>0.35902777777777778</v>
      </c>
      <c r="F22" s="16">
        <v>0.38675925925925925</v>
      </c>
      <c r="G22" s="16"/>
      <c r="H22" s="4">
        <v>3.125E-2</v>
      </c>
      <c r="I22" s="4">
        <v>0.16666666666666666</v>
      </c>
      <c r="J22" s="4">
        <v>2.7731481481481468E-2</v>
      </c>
      <c r="K22" s="4">
        <v>-0.35902777777777778</v>
      </c>
      <c r="L22" s="5">
        <v>30</v>
      </c>
      <c r="M22" s="5">
        <v>20</v>
      </c>
      <c r="N22" s="17">
        <v>4.8</v>
      </c>
      <c r="O22" s="17">
        <v>5</v>
      </c>
      <c r="P22" s="17">
        <v>5</v>
      </c>
      <c r="Q22" s="17">
        <v>2.4</v>
      </c>
      <c r="R22" s="17">
        <v>2.6</v>
      </c>
      <c r="S22" s="17">
        <v>3.6</v>
      </c>
      <c r="T22" s="17">
        <v>3.6</v>
      </c>
      <c r="U22" s="17">
        <v>2</v>
      </c>
      <c r="V22" s="17">
        <v>1.5</v>
      </c>
      <c r="W22" s="17">
        <v>7.5</v>
      </c>
      <c r="X22" s="17">
        <v>5</v>
      </c>
      <c r="Y22" s="5">
        <v>92.999999999999986</v>
      </c>
      <c r="Z22" s="108">
        <v>2</v>
      </c>
      <c r="AA22" s="17"/>
    </row>
    <row r="23" spans="1:27">
      <c r="A23" s="3" t="s">
        <v>91</v>
      </c>
      <c r="B23" s="92" t="s">
        <v>146</v>
      </c>
      <c r="C23" s="19" t="s">
        <v>198</v>
      </c>
      <c r="D23" s="73"/>
      <c r="E23" s="93">
        <v>0.35972222222222222</v>
      </c>
      <c r="F23" s="93">
        <v>0.39070601851851849</v>
      </c>
      <c r="G23" s="93"/>
      <c r="H23" s="4">
        <v>3.125E-2</v>
      </c>
      <c r="I23" s="4">
        <v>0.16666666666666666</v>
      </c>
      <c r="J23" s="4">
        <v>3.0983796296296273E-2</v>
      </c>
      <c r="K23" s="4">
        <v>-0.35972222222222222</v>
      </c>
      <c r="L23" s="5">
        <v>30</v>
      </c>
      <c r="M23" s="5">
        <v>20</v>
      </c>
      <c r="N23" s="74">
        <v>5</v>
      </c>
      <c r="O23" s="74">
        <v>4.5</v>
      </c>
      <c r="P23" s="74">
        <v>5</v>
      </c>
      <c r="Q23" s="74">
        <v>3.1</v>
      </c>
      <c r="R23" s="74">
        <v>3.2</v>
      </c>
      <c r="S23" s="74">
        <v>3.8</v>
      </c>
      <c r="T23" s="74">
        <v>3.2</v>
      </c>
      <c r="U23" s="74">
        <v>2</v>
      </c>
      <c r="V23" s="74">
        <v>1</v>
      </c>
      <c r="W23" s="74">
        <v>7</v>
      </c>
      <c r="X23" s="74">
        <v>5</v>
      </c>
      <c r="Y23" s="5">
        <v>92.8</v>
      </c>
      <c r="Z23" s="108">
        <v>3</v>
      </c>
      <c r="AA23" s="74"/>
    </row>
    <row r="24" spans="1:27">
      <c r="A24" s="3" t="s">
        <v>91</v>
      </c>
      <c r="B24" s="92" t="s">
        <v>140</v>
      </c>
      <c r="C24" s="10" t="s">
        <v>200</v>
      </c>
      <c r="D24" s="73"/>
      <c r="E24" s="93">
        <v>0.3611111111111111</v>
      </c>
      <c r="F24" s="93">
        <v>0.39111111111111113</v>
      </c>
      <c r="G24" s="93"/>
      <c r="H24" s="4">
        <v>3.125E-2</v>
      </c>
      <c r="I24" s="4">
        <v>0.16666666666666666</v>
      </c>
      <c r="J24" s="4">
        <v>3.0000000000000027E-2</v>
      </c>
      <c r="K24" s="4">
        <v>-0.3611111111111111</v>
      </c>
      <c r="L24" s="5">
        <v>30</v>
      </c>
      <c r="M24" s="5">
        <v>20</v>
      </c>
      <c r="N24" s="74">
        <v>5</v>
      </c>
      <c r="O24" s="74">
        <v>4.5</v>
      </c>
      <c r="P24" s="74">
        <v>5</v>
      </c>
      <c r="Q24" s="74">
        <v>2.2000000000000002</v>
      </c>
      <c r="R24" s="74">
        <v>3.2</v>
      </c>
      <c r="S24" s="74">
        <v>2.8</v>
      </c>
      <c r="T24" s="74">
        <v>3.3</v>
      </c>
      <c r="U24" s="74">
        <v>2</v>
      </c>
      <c r="V24" s="74">
        <v>2</v>
      </c>
      <c r="W24" s="74">
        <v>6</v>
      </c>
      <c r="X24" s="74">
        <v>5</v>
      </c>
      <c r="Y24" s="5">
        <v>91</v>
      </c>
      <c r="Z24" s="108">
        <v>4</v>
      </c>
      <c r="AA24" s="74"/>
    </row>
    <row r="25" spans="1:27" ht="14.25" thickBot="1">
      <c r="A25" s="63" t="s">
        <v>91</v>
      </c>
      <c r="B25" s="64" t="s">
        <v>165</v>
      </c>
      <c r="C25" s="65" t="s">
        <v>201</v>
      </c>
      <c r="D25" s="65"/>
      <c r="E25" s="66">
        <v>0.36180555555555555</v>
      </c>
      <c r="F25" s="66">
        <v>0.39140046296296299</v>
      </c>
      <c r="G25" s="66"/>
      <c r="H25" s="67">
        <v>3.125E-2</v>
      </c>
      <c r="I25" s="67">
        <v>0.16666666666666666</v>
      </c>
      <c r="J25" s="67">
        <v>2.9594907407407445E-2</v>
      </c>
      <c r="K25" s="67">
        <v>-0.36180555555555555</v>
      </c>
      <c r="L25" s="68">
        <v>30</v>
      </c>
      <c r="M25" s="68">
        <v>20</v>
      </c>
      <c r="N25" s="69">
        <v>4.3</v>
      </c>
      <c r="O25" s="69">
        <v>5</v>
      </c>
      <c r="P25" s="69">
        <v>5</v>
      </c>
      <c r="Q25" s="69">
        <v>1.5</v>
      </c>
      <c r="R25" s="69">
        <v>3.6</v>
      </c>
      <c r="S25" s="69">
        <v>2.8</v>
      </c>
      <c r="T25" s="69">
        <v>3.6</v>
      </c>
      <c r="U25" s="69">
        <v>1.8</v>
      </c>
      <c r="V25" s="69">
        <v>1</v>
      </c>
      <c r="W25" s="69">
        <v>6.5</v>
      </c>
      <c r="X25" s="69">
        <v>5</v>
      </c>
      <c r="Y25" s="68">
        <v>90.09999999999998</v>
      </c>
      <c r="Z25" s="109">
        <v>5</v>
      </c>
      <c r="AA25" s="69"/>
    </row>
    <row r="26" spans="1:27">
      <c r="A26" s="8" t="s">
        <v>110</v>
      </c>
      <c r="B26" s="18" t="s">
        <v>307</v>
      </c>
      <c r="C26" s="19" t="s">
        <v>210</v>
      </c>
      <c r="D26" s="19"/>
      <c r="E26" s="20">
        <v>0.36249999999999999</v>
      </c>
      <c r="F26" s="20">
        <v>0.38571759259259258</v>
      </c>
      <c r="G26" s="20"/>
      <c r="H26" s="21">
        <v>3.125E-2</v>
      </c>
      <c r="I26" s="21">
        <v>0.16666666666666666</v>
      </c>
      <c r="J26" s="21">
        <v>2.3217592592592595E-2</v>
      </c>
      <c r="K26" s="21">
        <v>-0.36249999999999999</v>
      </c>
      <c r="L26" s="22">
        <v>30</v>
      </c>
      <c r="M26" s="22">
        <v>20</v>
      </c>
      <c r="N26" s="23">
        <v>5</v>
      </c>
      <c r="O26" s="23">
        <v>4.5</v>
      </c>
      <c r="P26" s="23">
        <v>5</v>
      </c>
      <c r="Q26" s="23">
        <v>3.9</v>
      </c>
      <c r="R26" s="23">
        <v>4</v>
      </c>
      <c r="S26" s="23">
        <v>3.6</v>
      </c>
      <c r="T26" s="23">
        <v>3.8</v>
      </c>
      <c r="U26" s="23">
        <v>2</v>
      </c>
      <c r="V26" s="23">
        <v>2</v>
      </c>
      <c r="W26" s="23">
        <v>10</v>
      </c>
      <c r="X26" s="23">
        <v>5</v>
      </c>
      <c r="Y26" s="22">
        <v>98.8</v>
      </c>
      <c r="Z26" s="110">
        <v>1</v>
      </c>
      <c r="AA26" s="23"/>
    </row>
    <row r="27" spans="1:27">
      <c r="A27" s="3" t="s">
        <v>110</v>
      </c>
      <c r="B27" s="9" t="s">
        <v>309</v>
      </c>
      <c r="C27" s="10" t="s">
        <v>217</v>
      </c>
      <c r="D27" s="10"/>
      <c r="E27" s="16">
        <v>0.36458333333333331</v>
      </c>
      <c r="F27" s="16">
        <v>0.39340277777777777</v>
      </c>
      <c r="G27" s="16"/>
      <c r="H27" s="4">
        <v>3.125E-2</v>
      </c>
      <c r="I27" s="4">
        <v>0.16666666666666666</v>
      </c>
      <c r="J27" s="4">
        <v>2.8819444444444453E-2</v>
      </c>
      <c r="K27" s="4">
        <v>-0.36458333333333331</v>
      </c>
      <c r="L27" s="5">
        <v>30</v>
      </c>
      <c r="M27" s="5">
        <v>20</v>
      </c>
      <c r="N27" s="17">
        <v>5</v>
      </c>
      <c r="O27" s="17">
        <v>4.5</v>
      </c>
      <c r="P27" s="17">
        <v>5</v>
      </c>
      <c r="Q27" s="17">
        <v>3.3</v>
      </c>
      <c r="R27" s="17">
        <v>3</v>
      </c>
      <c r="S27" s="17">
        <v>3.6</v>
      </c>
      <c r="T27" s="17">
        <v>3.6</v>
      </c>
      <c r="U27" s="17">
        <v>2</v>
      </c>
      <c r="V27" s="17">
        <v>1.5</v>
      </c>
      <c r="W27" s="17">
        <v>8</v>
      </c>
      <c r="X27" s="17">
        <v>5</v>
      </c>
      <c r="Y27" s="5">
        <v>94.499999999999986</v>
      </c>
      <c r="Z27" s="108">
        <v>2</v>
      </c>
      <c r="AA27" s="17"/>
    </row>
    <row r="28" spans="1:27">
      <c r="A28" s="3" t="s">
        <v>110</v>
      </c>
      <c r="B28" s="9" t="s">
        <v>310</v>
      </c>
      <c r="C28" s="19" t="s">
        <v>291</v>
      </c>
      <c r="D28" s="10"/>
      <c r="E28" s="16">
        <v>0.36527777777777781</v>
      </c>
      <c r="F28" s="16">
        <v>0.39152777777777775</v>
      </c>
      <c r="G28" s="16"/>
      <c r="H28" s="4">
        <v>3.125E-2</v>
      </c>
      <c r="I28" s="4">
        <v>0.16666666666666666</v>
      </c>
      <c r="J28" s="4">
        <v>2.624999999999994E-2</v>
      </c>
      <c r="K28" s="4">
        <v>-0.36527777777777781</v>
      </c>
      <c r="L28" s="5">
        <v>30</v>
      </c>
      <c r="M28" s="5">
        <v>20</v>
      </c>
      <c r="N28" s="17">
        <v>4.3</v>
      </c>
      <c r="O28" s="17">
        <v>4.5</v>
      </c>
      <c r="P28" s="17">
        <v>5</v>
      </c>
      <c r="Q28" s="17">
        <v>2.5</v>
      </c>
      <c r="R28" s="17">
        <v>3.2</v>
      </c>
      <c r="S28" s="17">
        <v>3.8</v>
      </c>
      <c r="T28" s="17">
        <v>3.5</v>
      </c>
      <c r="U28" s="17">
        <v>1.8</v>
      </c>
      <c r="V28" s="17">
        <v>1.5</v>
      </c>
      <c r="W28" s="17">
        <v>8</v>
      </c>
      <c r="X28" s="17">
        <v>5</v>
      </c>
      <c r="Y28" s="5">
        <v>93.1</v>
      </c>
      <c r="Z28" s="108">
        <v>3</v>
      </c>
      <c r="AA28" s="17"/>
    </row>
    <row r="29" spans="1:27">
      <c r="A29" s="3" t="s">
        <v>110</v>
      </c>
      <c r="B29" s="9" t="s">
        <v>308</v>
      </c>
      <c r="C29" s="10" t="s">
        <v>211</v>
      </c>
      <c r="D29" s="10"/>
      <c r="E29" s="16">
        <v>0.36319444444444443</v>
      </c>
      <c r="F29" s="16">
        <v>0.3923611111111111</v>
      </c>
      <c r="G29" s="16"/>
      <c r="H29" s="4">
        <v>3.125E-2</v>
      </c>
      <c r="I29" s="4">
        <v>0.16666666666666666</v>
      </c>
      <c r="J29" s="4">
        <v>2.9166666666666674E-2</v>
      </c>
      <c r="K29" s="4">
        <v>-0.36319444444444443</v>
      </c>
      <c r="L29" s="5">
        <v>30</v>
      </c>
      <c r="M29" s="5">
        <v>20</v>
      </c>
      <c r="N29" s="17">
        <v>5</v>
      </c>
      <c r="O29" s="17">
        <v>4.5</v>
      </c>
      <c r="P29" s="17">
        <v>5</v>
      </c>
      <c r="Q29" s="17">
        <v>2.1</v>
      </c>
      <c r="R29" s="17">
        <v>3</v>
      </c>
      <c r="S29" s="17">
        <v>3.2</v>
      </c>
      <c r="T29" s="17">
        <v>3.4</v>
      </c>
      <c r="U29" s="17">
        <v>1.4</v>
      </c>
      <c r="V29" s="17">
        <v>1.5</v>
      </c>
      <c r="W29" s="17">
        <v>7</v>
      </c>
      <c r="X29" s="17">
        <v>5</v>
      </c>
      <c r="Y29" s="5">
        <v>91.100000000000009</v>
      </c>
      <c r="Z29" s="108">
        <v>4</v>
      </c>
      <c r="AA29" s="17"/>
    </row>
    <row r="30" spans="1:27">
      <c r="A30" s="3" t="s">
        <v>110</v>
      </c>
      <c r="B30" s="9" t="s">
        <v>287</v>
      </c>
      <c r="C30" s="19" t="s">
        <v>212</v>
      </c>
      <c r="D30" s="10"/>
      <c r="E30" s="16">
        <v>0.36388888888888887</v>
      </c>
      <c r="F30" s="16">
        <v>0.39326388888888886</v>
      </c>
      <c r="G30" s="16"/>
      <c r="H30" s="4">
        <v>3.125E-2</v>
      </c>
      <c r="I30" s="4">
        <v>0.16666666666666666</v>
      </c>
      <c r="J30" s="4">
        <v>2.9374999999999984E-2</v>
      </c>
      <c r="K30" s="4">
        <v>-0.36388888888888887</v>
      </c>
      <c r="L30" s="5">
        <v>30</v>
      </c>
      <c r="M30" s="5">
        <v>20</v>
      </c>
      <c r="N30" s="17">
        <v>4.5</v>
      </c>
      <c r="O30" s="17">
        <v>4.3</v>
      </c>
      <c r="P30" s="17">
        <v>3</v>
      </c>
      <c r="Q30" s="17">
        <v>1.9</v>
      </c>
      <c r="R30" s="17">
        <v>3</v>
      </c>
      <c r="S30" s="17">
        <v>1.8</v>
      </c>
      <c r="T30" s="17">
        <v>1.8</v>
      </c>
      <c r="U30" s="17">
        <v>1.8</v>
      </c>
      <c r="V30" s="17">
        <v>2</v>
      </c>
      <c r="W30" s="17">
        <v>8</v>
      </c>
      <c r="X30" s="17">
        <v>3.5</v>
      </c>
      <c r="Y30" s="5">
        <v>85.6</v>
      </c>
      <c r="Z30" s="108">
        <v>5</v>
      </c>
      <c r="AA30" s="17"/>
    </row>
    <row r="31" spans="1:27">
      <c r="A31" s="6"/>
      <c r="B31" s="11"/>
      <c r="C31" s="49"/>
      <c r="D31" s="49"/>
      <c r="E31" s="13"/>
      <c r="F31" s="13"/>
      <c r="G31" s="13"/>
      <c r="H31" s="13"/>
      <c r="I31" s="13"/>
      <c r="J31" s="13"/>
      <c r="K31" s="13"/>
      <c r="L31" s="50"/>
      <c r="M31" s="50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6"/>
    </row>
    <row r="32" spans="1:27">
      <c r="A32" s="6"/>
      <c r="B32" s="11" t="s">
        <v>121</v>
      </c>
      <c r="C32" s="49"/>
      <c r="D32" s="49"/>
      <c r="E32" s="13"/>
      <c r="F32" s="13"/>
      <c r="G32" s="13"/>
      <c r="H32" s="13"/>
      <c r="I32" s="13"/>
      <c r="J32" s="13"/>
      <c r="K32" s="13"/>
      <c r="L32" s="50"/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6"/>
    </row>
    <row r="33" spans="1:27">
      <c r="A33" s="6"/>
      <c r="B33" s="11" t="s">
        <v>167</v>
      </c>
      <c r="C33" s="49"/>
      <c r="D33" s="49"/>
      <c r="E33" s="13"/>
      <c r="F33" s="13"/>
      <c r="G33" s="13"/>
      <c r="H33" s="13"/>
      <c r="I33" s="13"/>
      <c r="J33" s="13"/>
      <c r="K33" s="13"/>
      <c r="L33" s="51">
        <f>MAX(L3:L30)</f>
        <v>30</v>
      </c>
      <c r="M33" s="51">
        <f>MAX(M3:M30)</f>
        <v>20</v>
      </c>
      <c r="N33" s="51">
        <v>5</v>
      </c>
      <c r="O33" s="51">
        <v>5</v>
      </c>
      <c r="P33" s="51">
        <v>5</v>
      </c>
      <c r="Q33" s="51">
        <v>3.9</v>
      </c>
      <c r="R33" s="51">
        <v>4</v>
      </c>
      <c r="S33" s="51">
        <v>4</v>
      </c>
      <c r="T33" s="51">
        <v>4</v>
      </c>
      <c r="U33" s="51">
        <v>2</v>
      </c>
      <c r="V33" s="51">
        <v>2</v>
      </c>
      <c r="W33" s="51">
        <v>10</v>
      </c>
      <c r="X33" s="51">
        <v>5</v>
      </c>
      <c r="Y33" s="51">
        <v>99.3</v>
      </c>
      <c r="Z33" s="51"/>
      <c r="AA33" s="6"/>
    </row>
    <row r="34" spans="1:27">
      <c r="A34" s="6"/>
      <c r="B34" s="11" t="s">
        <v>168</v>
      </c>
      <c r="C34" s="49"/>
      <c r="D34" s="49"/>
      <c r="E34" s="13"/>
      <c r="F34" s="13"/>
      <c r="G34" s="13"/>
      <c r="H34" s="13"/>
      <c r="I34" s="13"/>
      <c r="J34" s="13"/>
      <c r="K34" s="13"/>
      <c r="L34" s="51">
        <f>MIN(L3:L30)</f>
        <v>0</v>
      </c>
      <c r="M34" s="51">
        <f>MIN(M3:M30)</f>
        <v>0</v>
      </c>
      <c r="N34" s="51">
        <v>2.8</v>
      </c>
      <c r="O34" s="51">
        <v>3.3</v>
      </c>
      <c r="P34" s="51">
        <v>3</v>
      </c>
      <c r="Q34" s="51">
        <v>0.5</v>
      </c>
      <c r="R34" s="51">
        <v>1.6</v>
      </c>
      <c r="S34" s="51">
        <v>1.4</v>
      </c>
      <c r="T34" s="51">
        <v>0.9</v>
      </c>
      <c r="U34" s="51">
        <v>0.4</v>
      </c>
      <c r="V34" s="51">
        <v>0</v>
      </c>
      <c r="W34" s="51">
        <v>4</v>
      </c>
      <c r="X34" s="51">
        <v>3.5</v>
      </c>
      <c r="Y34" s="51">
        <v>77.199999999999989</v>
      </c>
      <c r="Z34" s="51"/>
      <c r="AA34" s="6"/>
    </row>
    <row r="35" spans="1:27">
      <c r="A35" s="6"/>
      <c r="B35" s="11" t="s">
        <v>166</v>
      </c>
      <c r="C35" s="49"/>
      <c r="D35" s="49"/>
      <c r="E35" s="13"/>
      <c r="F35" s="13"/>
      <c r="G35" s="13"/>
      <c r="H35" s="13"/>
      <c r="I35" s="13"/>
      <c r="J35" s="13"/>
      <c r="K35" s="13"/>
      <c r="L35" s="51">
        <f>AVERAGE(L3:L30)</f>
        <v>28.928571428571427</v>
      </c>
      <c r="M35" s="51">
        <f>AVERAGE(M3:M30)</f>
        <v>19.285714285714285</v>
      </c>
      <c r="N35" s="51">
        <v>4.4892857142857139</v>
      </c>
      <c r="O35" s="51">
        <v>4.5464285714285717</v>
      </c>
      <c r="P35" s="51">
        <v>4.8035714285714288</v>
      </c>
      <c r="Q35" s="51">
        <v>2.5357142857142856</v>
      </c>
      <c r="R35" s="51">
        <v>3.2642857142857147</v>
      </c>
      <c r="S35" s="51">
        <v>3.149999999999999</v>
      </c>
      <c r="T35" s="51">
        <v>3.1321428571428567</v>
      </c>
      <c r="U35" s="51">
        <v>1.7071428571428569</v>
      </c>
      <c r="V35" s="51">
        <v>1.5</v>
      </c>
      <c r="W35" s="51">
        <v>7.7222222222222223</v>
      </c>
      <c r="X35" s="51">
        <v>4.9107142857142856</v>
      </c>
      <c r="Y35" s="51">
        <v>91.48571428571428</v>
      </c>
      <c r="Z35" s="51"/>
      <c r="AA35" s="6"/>
    </row>
    <row r="36" spans="1:27">
      <c r="A36" s="6"/>
      <c r="B36" s="11" t="s">
        <v>179</v>
      </c>
      <c r="C36" s="49"/>
      <c r="D36" s="49"/>
      <c r="E36" s="13"/>
      <c r="F36" s="13"/>
      <c r="G36" s="13"/>
      <c r="H36" s="13"/>
      <c r="I36" s="13"/>
      <c r="J36" s="13"/>
      <c r="K36" s="13"/>
      <c r="L36" s="71">
        <f>L35/L2</f>
        <v>0.96428571428571419</v>
      </c>
      <c r="M36" s="71">
        <f>M35/M2</f>
        <v>0.96428571428571419</v>
      </c>
      <c r="N36" s="71">
        <v>0.8978571428571428</v>
      </c>
      <c r="O36" s="71">
        <v>0.90928571428571436</v>
      </c>
      <c r="P36" s="71">
        <v>0.96071428571428574</v>
      </c>
      <c r="Q36" s="71">
        <v>0.6339285714285714</v>
      </c>
      <c r="R36" s="71">
        <v>0.81607142857142867</v>
      </c>
      <c r="S36" s="71">
        <v>0.78749999999999976</v>
      </c>
      <c r="T36" s="71">
        <v>0.78303571428571417</v>
      </c>
      <c r="U36" s="71">
        <v>0.85357142857142843</v>
      </c>
      <c r="V36" s="71">
        <v>0.75</v>
      </c>
      <c r="W36" s="71">
        <v>0.77222222222222225</v>
      </c>
      <c r="X36" s="71">
        <v>0.9821428571428571</v>
      </c>
      <c r="Y36" s="71">
        <v>0.91485714285714281</v>
      </c>
      <c r="Z36" s="71"/>
      <c r="AA36" s="6"/>
    </row>
  </sheetData>
  <phoneticPr fontId="2"/>
  <pageMargins left="0.35433070866141736" right="0.59055118110236227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workbookViewId="0">
      <pane xSplit="2" ySplit="1" topLeftCell="J2" activePane="bottomRight" state="frozen"/>
      <selection pane="topRight" activeCell="C1" sqref="C1"/>
      <selection pane="bottomLeft" activeCell="A2" sqref="A2"/>
      <selection pane="bottomRight" activeCell="H3" sqref="H3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4.75" style="11" customWidth="1"/>
    <col min="4" max="4" width="10.25" style="12" customWidth="1"/>
    <col min="5" max="5" width="6.625" style="13" customWidth="1"/>
    <col min="6" max="7" width="7.625" style="13" customWidth="1"/>
    <col min="8" max="9" width="11.25" style="13" customWidth="1"/>
    <col min="10" max="11" width="6.625" style="13" customWidth="1"/>
    <col min="12" max="13" width="6.625" style="15" customWidth="1"/>
    <col min="14" max="28" width="6.625" customWidth="1"/>
  </cols>
  <sheetData>
    <row r="1" spans="1:30" s="1" customFormat="1">
      <c r="A1" s="31" t="s">
        <v>84</v>
      </c>
      <c r="B1" s="32" t="s">
        <v>85</v>
      </c>
      <c r="C1" s="32" t="s">
        <v>122</v>
      </c>
      <c r="D1" s="32" t="s">
        <v>86</v>
      </c>
      <c r="E1" s="33" t="s">
        <v>123</v>
      </c>
      <c r="F1" s="33" t="s">
        <v>124</v>
      </c>
      <c r="G1" s="33" t="s">
        <v>125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126</v>
      </c>
      <c r="M1" s="35" t="s">
        <v>127</v>
      </c>
      <c r="N1" s="36" t="s">
        <v>128</v>
      </c>
      <c r="O1" s="36" t="s">
        <v>129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4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1" t="s">
        <v>92</v>
      </c>
    </row>
    <row r="2" spans="1:30" s="2" customFormat="1">
      <c r="A2" s="37"/>
      <c r="B2" s="38"/>
      <c r="C2" s="38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 t="shared" ref="AA2:AA22" si="0">SUM(L2:Z2)</f>
        <v>100</v>
      </c>
      <c r="AB2" s="44"/>
    </row>
    <row r="3" spans="1:30">
      <c r="A3" s="3" t="s">
        <v>130</v>
      </c>
      <c r="B3" s="9" t="s">
        <v>140</v>
      </c>
      <c r="C3" s="9"/>
      <c r="D3" s="10" t="s">
        <v>18</v>
      </c>
      <c r="E3" s="16">
        <v>0.29166666666666669</v>
      </c>
      <c r="F3" s="16">
        <v>0.30787037037037041</v>
      </c>
      <c r="G3" s="16">
        <v>0.4597222222222222</v>
      </c>
      <c r="H3" s="4">
        <v>3.125E-2</v>
      </c>
      <c r="I3" s="4">
        <v>0.16666666666666666</v>
      </c>
      <c r="J3" s="4">
        <f>F3-E3</f>
        <v>1.620370370370372E-2</v>
      </c>
      <c r="K3" s="4">
        <f t="shared" ref="K3:K22" si="1">G3-E3</f>
        <v>0.16805555555555551</v>
      </c>
      <c r="L3" s="5">
        <f>MAX(IF(J3-H3&gt;0,L$2-ROUND((J3-H3)*60*24*0.5,1),L$2),0)</f>
        <v>20</v>
      </c>
      <c r="M3" s="5">
        <f>MAX(IF(K3-I3&gt;0,L$2-ROUND((K3-I3)*60*24*0.5,1),L$2),0)</f>
        <v>19</v>
      </c>
      <c r="N3" s="17">
        <v>8</v>
      </c>
      <c r="O3" s="17">
        <v>1.8</v>
      </c>
      <c r="P3" s="17">
        <v>8</v>
      </c>
      <c r="Q3" s="17">
        <v>4</v>
      </c>
      <c r="R3" s="17">
        <v>6.8</v>
      </c>
      <c r="S3" s="17"/>
      <c r="T3" s="17">
        <v>6.5</v>
      </c>
      <c r="U3" s="17">
        <v>4</v>
      </c>
      <c r="V3" s="17">
        <v>1.4</v>
      </c>
      <c r="W3" s="17">
        <v>6</v>
      </c>
      <c r="X3" s="17">
        <v>4</v>
      </c>
      <c r="Y3" s="17">
        <v>3</v>
      </c>
      <c r="Z3" s="17">
        <v>5</v>
      </c>
      <c r="AA3" s="5">
        <f t="shared" si="0"/>
        <v>97.5</v>
      </c>
      <c r="AB3" s="45">
        <f t="shared" ref="AB3:AB11" si="2">RANK(AA3,AA$3:AA$11)</f>
        <v>1</v>
      </c>
    </row>
    <row r="4" spans="1:30">
      <c r="A4" s="3" t="s">
        <v>131</v>
      </c>
      <c r="B4" s="9" t="s">
        <v>141</v>
      </c>
      <c r="C4" s="9"/>
      <c r="D4" s="10" t="s">
        <v>12</v>
      </c>
      <c r="E4" s="16">
        <v>0.28194444444444444</v>
      </c>
      <c r="F4" s="16">
        <v>0.30353009259259262</v>
      </c>
      <c r="G4" s="16">
        <v>0.47361111111111115</v>
      </c>
      <c r="H4" s="4">
        <v>3.125E-2</v>
      </c>
      <c r="I4" s="4">
        <v>0.16666666666666666</v>
      </c>
      <c r="J4" s="4">
        <f t="shared" ref="J4:J22" si="3">F4-E4</f>
        <v>2.1585648148148173E-2</v>
      </c>
      <c r="K4" s="4">
        <f t="shared" si="1"/>
        <v>0.19166666666666671</v>
      </c>
      <c r="L4" s="5">
        <f t="shared" ref="L4:L22" si="4">MAX(IF(J4-H4&gt;0,L$2-ROUND((J4-H4)*60*24*0.5,1),L$2),0)</f>
        <v>20</v>
      </c>
      <c r="M4" s="5">
        <f t="shared" ref="M4:M22" si="5">MAX(IF(K4-I4&gt;0,L$2-ROUND((K4-I4)*60*24*0.5,1),L$2),0)</f>
        <v>2</v>
      </c>
      <c r="N4" s="17">
        <v>8</v>
      </c>
      <c r="O4" s="17">
        <v>2</v>
      </c>
      <c r="P4" s="17">
        <v>8</v>
      </c>
      <c r="Q4" s="17">
        <v>4</v>
      </c>
      <c r="R4" s="17">
        <v>6.8</v>
      </c>
      <c r="S4" s="17"/>
      <c r="T4" s="17">
        <v>5</v>
      </c>
      <c r="U4" s="17">
        <v>3.5</v>
      </c>
      <c r="V4" s="17">
        <v>1.6</v>
      </c>
      <c r="W4" s="17">
        <v>6</v>
      </c>
      <c r="X4" s="17">
        <v>4</v>
      </c>
      <c r="Y4" s="17">
        <v>3</v>
      </c>
      <c r="Z4" s="17">
        <v>5</v>
      </c>
      <c r="AA4" s="5">
        <f t="shared" si="0"/>
        <v>78.900000000000006</v>
      </c>
      <c r="AB4" s="45">
        <f t="shared" si="2"/>
        <v>2</v>
      </c>
    </row>
    <row r="5" spans="1:30">
      <c r="A5" s="3" t="s">
        <v>131</v>
      </c>
      <c r="B5" s="9" t="s">
        <v>142</v>
      </c>
      <c r="C5" s="9"/>
      <c r="D5" s="10" t="s">
        <v>20</v>
      </c>
      <c r="E5" s="16">
        <v>0.28125</v>
      </c>
      <c r="F5" s="16">
        <v>0.30621527777777779</v>
      </c>
      <c r="G5" s="16">
        <v>0.50416666666666665</v>
      </c>
      <c r="H5" s="4">
        <v>3.125E-2</v>
      </c>
      <c r="I5" s="4">
        <v>0.16666666666666666</v>
      </c>
      <c r="J5" s="4">
        <f t="shared" si="3"/>
        <v>2.4965277777777795E-2</v>
      </c>
      <c r="K5" s="4">
        <f t="shared" si="1"/>
        <v>0.22291666666666665</v>
      </c>
      <c r="L5" s="5">
        <f t="shared" si="4"/>
        <v>20</v>
      </c>
      <c r="M5" s="5">
        <f t="shared" si="5"/>
        <v>0</v>
      </c>
      <c r="N5" s="17">
        <v>8</v>
      </c>
      <c r="O5" s="17">
        <v>2</v>
      </c>
      <c r="P5" s="17">
        <v>8</v>
      </c>
      <c r="Q5" s="17">
        <v>4</v>
      </c>
      <c r="R5" s="17">
        <v>5.3</v>
      </c>
      <c r="S5" s="17"/>
      <c r="T5" s="17">
        <v>4</v>
      </c>
      <c r="U5" s="17">
        <v>3</v>
      </c>
      <c r="V5" s="17">
        <v>1.8</v>
      </c>
      <c r="W5" s="17">
        <v>5.6</v>
      </c>
      <c r="X5" s="17">
        <v>2.5</v>
      </c>
      <c r="Y5" s="17">
        <v>3</v>
      </c>
      <c r="Z5" s="17">
        <v>5</v>
      </c>
      <c r="AA5" s="5">
        <f t="shared" si="0"/>
        <v>72.199999999999989</v>
      </c>
      <c r="AB5" s="45">
        <f t="shared" si="2"/>
        <v>4</v>
      </c>
    </row>
    <row r="6" spans="1:30">
      <c r="A6" s="3" t="s">
        <v>131</v>
      </c>
      <c r="B6" s="9" t="s">
        <v>143</v>
      </c>
      <c r="C6" s="9"/>
      <c r="D6" s="10" t="s">
        <v>26</v>
      </c>
      <c r="E6" s="16">
        <v>0.28402777777777799</v>
      </c>
      <c r="F6" s="16">
        <v>0.30976851851851855</v>
      </c>
      <c r="G6" s="16">
        <v>0.48472222222222222</v>
      </c>
      <c r="H6" s="4">
        <v>3.125E-2</v>
      </c>
      <c r="I6" s="4">
        <v>0.16666666666666666</v>
      </c>
      <c r="J6" s="4">
        <f t="shared" si="3"/>
        <v>2.5740740740740564E-2</v>
      </c>
      <c r="K6" s="4">
        <f t="shared" si="1"/>
        <v>0.20069444444444423</v>
      </c>
      <c r="L6" s="5">
        <f t="shared" si="4"/>
        <v>20</v>
      </c>
      <c r="M6" s="5">
        <f t="shared" si="5"/>
        <v>0</v>
      </c>
      <c r="N6" s="17">
        <v>8</v>
      </c>
      <c r="O6" s="17">
        <v>2</v>
      </c>
      <c r="P6" s="17">
        <v>7.9</v>
      </c>
      <c r="Q6" s="17">
        <v>4</v>
      </c>
      <c r="R6" s="17">
        <v>2.4</v>
      </c>
      <c r="S6" s="17"/>
      <c r="T6" s="17">
        <v>3</v>
      </c>
      <c r="U6" s="17">
        <v>1.5</v>
      </c>
      <c r="V6" s="17">
        <v>1.4</v>
      </c>
      <c r="W6" s="17">
        <v>5.8</v>
      </c>
      <c r="X6" s="17">
        <v>2.6</v>
      </c>
      <c r="Y6" s="17">
        <v>2.5</v>
      </c>
      <c r="Z6" s="17">
        <v>5</v>
      </c>
      <c r="AA6" s="5">
        <f t="shared" si="0"/>
        <v>66.099999999999994</v>
      </c>
      <c r="AB6" s="45">
        <f t="shared" si="2"/>
        <v>5</v>
      </c>
    </row>
    <row r="7" spans="1:30">
      <c r="A7" s="3" t="s">
        <v>131</v>
      </c>
      <c r="B7" s="9" t="s">
        <v>144</v>
      </c>
      <c r="C7" s="9"/>
      <c r="D7" s="10" t="s">
        <v>81</v>
      </c>
      <c r="E7" s="16">
        <v>0.28472222222222199</v>
      </c>
      <c r="F7" s="16">
        <v>0.30717592592592591</v>
      </c>
      <c r="G7" s="16">
        <v>0.46597222222222223</v>
      </c>
      <c r="H7" s="4">
        <v>3.125E-2</v>
      </c>
      <c r="I7" s="4">
        <v>0.16666666666666666</v>
      </c>
      <c r="J7" s="4">
        <f t="shared" si="3"/>
        <v>2.245370370370392E-2</v>
      </c>
      <c r="K7" s="4">
        <f t="shared" si="1"/>
        <v>0.18125000000000024</v>
      </c>
      <c r="L7" s="5">
        <f t="shared" si="4"/>
        <v>20</v>
      </c>
      <c r="M7" s="5">
        <f t="shared" si="5"/>
        <v>9.5</v>
      </c>
      <c r="N7" s="17">
        <v>7.8</v>
      </c>
      <c r="O7" s="17">
        <v>2</v>
      </c>
      <c r="P7" s="17">
        <v>7.5</v>
      </c>
      <c r="Q7" s="17">
        <v>4</v>
      </c>
      <c r="R7" s="17">
        <v>2.2000000000000002</v>
      </c>
      <c r="S7" s="17"/>
      <c r="T7" s="17">
        <v>3</v>
      </c>
      <c r="U7" s="17">
        <v>2</v>
      </c>
      <c r="V7" s="17">
        <v>1.6</v>
      </c>
      <c r="W7" s="17">
        <v>5.8</v>
      </c>
      <c r="X7" s="17">
        <v>1.8</v>
      </c>
      <c r="Y7" s="17">
        <v>3</v>
      </c>
      <c r="Z7" s="17">
        <v>4.5</v>
      </c>
      <c r="AA7" s="5">
        <f t="shared" si="0"/>
        <v>74.7</v>
      </c>
      <c r="AB7" s="45">
        <f t="shared" si="2"/>
        <v>3</v>
      </c>
    </row>
    <row r="8" spans="1:30">
      <c r="A8" s="3" t="s">
        <v>131</v>
      </c>
      <c r="B8" s="9" t="s">
        <v>145</v>
      </c>
      <c r="C8" s="9"/>
      <c r="D8" s="10" t="s">
        <v>24</v>
      </c>
      <c r="E8" s="16">
        <v>0.28680555555555598</v>
      </c>
      <c r="F8" s="16">
        <v>0.31284722222222222</v>
      </c>
      <c r="G8" s="16">
        <v>0.48958333333333331</v>
      </c>
      <c r="H8" s="4">
        <v>3.125E-2</v>
      </c>
      <c r="I8" s="4">
        <v>0.16666666666666666</v>
      </c>
      <c r="J8" s="4">
        <f t="shared" si="3"/>
        <v>2.6041666666666241E-2</v>
      </c>
      <c r="K8" s="4">
        <f t="shared" si="1"/>
        <v>0.20277777777777733</v>
      </c>
      <c r="L8" s="5">
        <f t="shared" si="4"/>
        <v>20</v>
      </c>
      <c r="M8" s="5">
        <f t="shared" si="5"/>
        <v>0</v>
      </c>
      <c r="N8" s="17">
        <v>6.9</v>
      </c>
      <c r="O8" s="17">
        <v>1.8</v>
      </c>
      <c r="P8" s="17">
        <v>7.1</v>
      </c>
      <c r="Q8" s="17">
        <v>3.1</v>
      </c>
      <c r="R8" s="17">
        <v>5.6</v>
      </c>
      <c r="S8" s="17"/>
      <c r="T8" s="17">
        <v>2</v>
      </c>
      <c r="U8" s="17">
        <v>1.5</v>
      </c>
      <c r="V8" s="17">
        <v>1.4</v>
      </c>
      <c r="W8" s="17">
        <v>5.4</v>
      </c>
      <c r="X8" s="17">
        <v>1.8</v>
      </c>
      <c r="Y8" s="17">
        <v>3</v>
      </c>
      <c r="Z8" s="17">
        <v>5</v>
      </c>
      <c r="AA8" s="5">
        <f t="shared" si="0"/>
        <v>64.599999999999994</v>
      </c>
      <c r="AB8" s="45">
        <f t="shared" si="2"/>
        <v>6</v>
      </c>
    </row>
    <row r="9" spans="1:30">
      <c r="A9" s="3" t="s">
        <v>131</v>
      </c>
      <c r="B9" s="9"/>
      <c r="C9" s="9"/>
      <c r="D9" s="10" t="s">
        <v>14</v>
      </c>
      <c r="E9" s="16">
        <v>0.28263888888888899</v>
      </c>
      <c r="F9" s="16">
        <v>0.30842592592592594</v>
      </c>
      <c r="G9" s="16">
        <v>0.47638888888888892</v>
      </c>
      <c r="H9" s="4">
        <v>3.125E-2</v>
      </c>
      <c r="I9" s="4">
        <v>0.16666666666666666</v>
      </c>
      <c r="J9" s="4">
        <f t="shared" si="3"/>
        <v>2.5787037037036942E-2</v>
      </c>
      <c r="K9" s="4">
        <f t="shared" si="1"/>
        <v>0.19374999999999992</v>
      </c>
      <c r="L9" s="5">
        <f t="shared" si="4"/>
        <v>20</v>
      </c>
      <c r="M9" s="5">
        <f t="shared" si="5"/>
        <v>0.5</v>
      </c>
      <c r="N9" s="17">
        <v>6.4</v>
      </c>
      <c r="O9" s="17">
        <v>2</v>
      </c>
      <c r="P9" s="17">
        <v>5.5</v>
      </c>
      <c r="Q9" s="17">
        <v>4</v>
      </c>
      <c r="R9" s="17">
        <v>2.8</v>
      </c>
      <c r="S9" s="17"/>
      <c r="T9" s="17">
        <v>1.5</v>
      </c>
      <c r="U9" s="17">
        <v>1</v>
      </c>
      <c r="V9" s="17">
        <v>1.8</v>
      </c>
      <c r="W9" s="17">
        <v>5.5</v>
      </c>
      <c r="X9" s="17">
        <v>2.5</v>
      </c>
      <c r="Y9" s="17">
        <v>3</v>
      </c>
      <c r="Z9" s="17">
        <v>5</v>
      </c>
      <c r="AA9" s="5">
        <f t="shared" si="0"/>
        <v>61.499999999999993</v>
      </c>
      <c r="AB9" s="45">
        <f t="shared" si="2"/>
        <v>7</v>
      </c>
    </row>
    <row r="10" spans="1:30">
      <c r="A10" s="3" t="s">
        <v>131</v>
      </c>
      <c r="B10" s="9"/>
      <c r="C10" s="9"/>
      <c r="D10" s="10" t="s">
        <v>38</v>
      </c>
      <c r="E10" s="16">
        <v>0.28333333333333299</v>
      </c>
      <c r="F10" s="16">
        <v>0.31365740740740738</v>
      </c>
      <c r="G10" s="16">
        <v>0.48055555555555557</v>
      </c>
      <c r="H10" s="4">
        <v>3.125E-2</v>
      </c>
      <c r="I10" s="4">
        <v>0.16666666666666666</v>
      </c>
      <c r="J10" s="4">
        <f t="shared" si="3"/>
        <v>3.0324074074074392E-2</v>
      </c>
      <c r="K10" s="4">
        <f t="shared" si="1"/>
        <v>0.19722222222222258</v>
      </c>
      <c r="L10" s="5">
        <f t="shared" si="4"/>
        <v>20</v>
      </c>
      <c r="M10" s="5">
        <f t="shared" si="5"/>
        <v>0</v>
      </c>
      <c r="N10" s="17">
        <v>4.5999999999999996</v>
      </c>
      <c r="O10" s="17">
        <v>1.6</v>
      </c>
      <c r="P10" s="17">
        <v>6.9</v>
      </c>
      <c r="Q10" s="17">
        <v>3.1</v>
      </c>
      <c r="R10" s="17">
        <v>3.3</v>
      </c>
      <c r="S10" s="17"/>
      <c r="T10" s="17">
        <v>2.5</v>
      </c>
      <c r="U10" s="17">
        <v>1.5</v>
      </c>
      <c r="V10" s="17">
        <v>1.4</v>
      </c>
      <c r="W10" s="17">
        <v>5.3</v>
      </c>
      <c r="X10" s="17">
        <v>1</v>
      </c>
      <c r="Y10" s="17">
        <v>2</v>
      </c>
      <c r="Z10" s="17">
        <v>5</v>
      </c>
      <c r="AA10" s="5">
        <f t="shared" si="0"/>
        <v>58.199999999999996</v>
      </c>
      <c r="AB10" s="45">
        <f t="shared" si="2"/>
        <v>8</v>
      </c>
    </row>
    <row r="11" spans="1:30" ht="14.25" thickBot="1">
      <c r="A11" s="47" t="s">
        <v>131</v>
      </c>
      <c r="B11" s="24"/>
      <c r="C11" s="24"/>
      <c r="D11" s="59" t="s">
        <v>132</v>
      </c>
      <c r="E11" s="26">
        <v>0.28611111111111098</v>
      </c>
      <c r="F11" s="26">
        <v>0.31231481481481482</v>
      </c>
      <c r="G11" s="26">
        <v>0.47847222222222219</v>
      </c>
      <c r="H11" s="27">
        <v>3.125E-2</v>
      </c>
      <c r="I11" s="27">
        <v>0.16666666666666666</v>
      </c>
      <c r="J11" s="27">
        <f t="shared" si="3"/>
        <v>2.620370370370384E-2</v>
      </c>
      <c r="K11" s="27">
        <f t="shared" si="1"/>
        <v>0.1923611111111112</v>
      </c>
      <c r="L11" s="28">
        <f t="shared" si="4"/>
        <v>20</v>
      </c>
      <c r="M11" s="28">
        <f t="shared" si="5"/>
        <v>1.5</v>
      </c>
      <c r="N11" s="29">
        <v>6.8</v>
      </c>
      <c r="O11" s="29">
        <v>1.8</v>
      </c>
      <c r="P11" s="29">
        <v>3.1</v>
      </c>
      <c r="Q11" s="29">
        <v>4</v>
      </c>
      <c r="R11" s="29">
        <v>1.6</v>
      </c>
      <c r="S11" s="29"/>
      <c r="T11" s="29">
        <v>0</v>
      </c>
      <c r="U11" s="29">
        <v>2</v>
      </c>
      <c r="V11" s="29">
        <v>0.8</v>
      </c>
      <c r="W11" s="29">
        <v>5.8</v>
      </c>
      <c r="X11" s="29">
        <v>1</v>
      </c>
      <c r="Y11" s="29">
        <v>2</v>
      </c>
      <c r="Z11" s="29">
        <v>4.5</v>
      </c>
      <c r="AA11" s="28">
        <f t="shared" si="0"/>
        <v>54.9</v>
      </c>
      <c r="AB11" s="48">
        <f t="shared" si="2"/>
        <v>9</v>
      </c>
      <c r="AD11" s="30"/>
    </row>
    <row r="12" spans="1:30" ht="14.25" thickTop="1">
      <c r="A12" s="8" t="s">
        <v>93</v>
      </c>
      <c r="B12" s="18" t="s">
        <v>133</v>
      </c>
      <c r="C12" s="18"/>
      <c r="D12" s="19" t="s">
        <v>12</v>
      </c>
      <c r="E12" s="20">
        <v>0.28888888888888897</v>
      </c>
      <c r="F12" s="20">
        <v>0.31103009259259257</v>
      </c>
      <c r="G12" s="20">
        <v>0.4826388888888889</v>
      </c>
      <c r="H12" s="21">
        <v>3.125E-2</v>
      </c>
      <c r="I12" s="21">
        <v>0.16666666666666666</v>
      </c>
      <c r="J12" s="21">
        <f t="shared" si="3"/>
        <v>2.2141203703703594E-2</v>
      </c>
      <c r="K12" s="21">
        <f t="shared" si="1"/>
        <v>0.19374999999999992</v>
      </c>
      <c r="L12" s="22">
        <f t="shared" si="4"/>
        <v>20</v>
      </c>
      <c r="M12" s="22">
        <f t="shared" si="5"/>
        <v>0.5</v>
      </c>
      <c r="N12" s="23">
        <v>8</v>
      </c>
      <c r="O12" s="23">
        <v>2</v>
      </c>
      <c r="P12" s="23">
        <v>8</v>
      </c>
      <c r="Q12" s="23">
        <v>4</v>
      </c>
      <c r="R12" s="23">
        <v>5.8</v>
      </c>
      <c r="S12" s="23"/>
      <c r="T12" s="23">
        <v>6</v>
      </c>
      <c r="U12" s="23">
        <v>4</v>
      </c>
      <c r="V12" s="23">
        <v>1.8</v>
      </c>
      <c r="W12" s="23">
        <v>6</v>
      </c>
      <c r="X12" s="23">
        <v>3.8</v>
      </c>
      <c r="Y12" s="23">
        <v>3</v>
      </c>
      <c r="Z12" s="23">
        <v>5</v>
      </c>
      <c r="AA12" s="22">
        <f t="shared" si="0"/>
        <v>77.899999999999991</v>
      </c>
      <c r="AB12" s="46">
        <f t="shared" ref="AB12:AB17" si="6">RANK(AA12,AA$12:AA$17)</f>
        <v>2</v>
      </c>
    </row>
    <row r="13" spans="1:30">
      <c r="A13" s="3" t="s">
        <v>93</v>
      </c>
      <c r="B13" s="9" t="s">
        <v>134</v>
      </c>
      <c r="C13" s="9"/>
      <c r="D13" s="10" t="s">
        <v>18</v>
      </c>
      <c r="E13" s="16">
        <v>0.28749999999999998</v>
      </c>
      <c r="F13" s="16">
        <v>0.30855324074074075</v>
      </c>
      <c r="G13" s="16">
        <v>0.47986111111111113</v>
      </c>
      <c r="H13" s="4">
        <v>3.125E-2</v>
      </c>
      <c r="I13" s="4">
        <v>0.16666666666666666</v>
      </c>
      <c r="J13" s="4">
        <f t="shared" si="3"/>
        <v>2.1053240740740775E-2</v>
      </c>
      <c r="K13" s="4">
        <f t="shared" si="1"/>
        <v>0.19236111111111115</v>
      </c>
      <c r="L13" s="5">
        <f t="shared" si="4"/>
        <v>20</v>
      </c>
      <c r="M13" s="5">
        <f t="shared" si="5"/>
        <v>1.5</v>
      </c>
      <c r="N13" s="17">
        <v>8</v>
      </c>
      <c r="O13" s="17">
        <v>2</v>
      </c>
      <c r="P13" s="17">
        <v>8</v>
      </c>
      <c r="Q13" s="17">
        <v>4</v>
      </c>
      <c r="R13" s="17">
        <v>5</v>
      </c>
      <c r="S13" s="17"/>
      <c r="T13" s="17">
        <v>5.5</v>
      </c>
      <c r="U13" s="17">
        <v>4</v>
      </c>
      <c r="V13" s="17">
        <v>1.6</v>
      </c>
      <c r="W13" s="17">
        <v>6</v>
      </c>
      <c r="X13" s="17">
        <v>3.6</v>
      </c>
      <c r="Y13" s="17">
        <v>3</v>
      </c>
      <c r="Z13" s="17">
        <v>5</v>
      </c>
      <c r="AA13" s="5">
        <f t="shared" si="0"/>
        <v>77.199999999999989</v>
      </c>
      <c r="AB13" s="45">
        <f t="shared" si="6"/>
        <v>3</v>
      </c>
    </row>
    <row r="14" spans="1:30">
      <c r="A14" s="3" t="s">
        <v>93</v>
      </c>
      <c r="B14" s="9" t="s">
        <v>135</v>
      </c>
      <c r="C14" s="9"/>
      <c r="D14" s="10" t="s">
        <v>12</v>
      </c>
      <c r="E14" s="16">
        <v>0.28958333333333303</v>
      </c>
      <c r="F14" s="16">
        <v>0.31206018518518519</v>
      </c>
      <c r="G14" s="16">
        <v>0.48333333333333334</v>
      </c>
      <c r="H14" s="4">
        <v>3.125E-2</v>
      </c>
      <c r="I14" s="4">
        <v>0.16666666666666666</v>
      </c>
      <c r="J14" s="4">
        <f t="shared" si="3"/>
        <v>2.2476851851852164E-2</v>
      </c>
      <c r="K14" s="4">
        <f t="shared" si="1"/>
        <v>0.19375000000000031</v>
      </c>
      <c r="L14" s="5">
        <f t="shared" si="4"/>
        <v>20</v>
      </c>
      <c r="M14" s="5">
        <f t="shared" si="5"/>
        <v>0.5</v>
      </c>
      <c r="N14" s="17">
        <v>8</v>
      </c>
      <c r="O14" s="17">
        <v>2</v>
      </c>
      <c r="P14" s="17">
        <v>7</v>
      </c>
      <c r="Q14" s="17">
        <v>4</v>
      </c>
      <c r="R14" s="17">
        <v>6.4</v>
      </c>
      <c r="S14" s="17"/>
      <c r="T14" s="17">
        <v>4.5</v>
      </c>
      <c r="U14" s="17">
        <v>4</v>
      </c>
      <c r="V14" s="17">
        <v>1.8</v>
      </c>
      <c r="W14" s="17">
        <v>5.8</v>
      </c>
      <c r="X14" s="17">
        <v>4</v>
      </c>
      <c r="Y14" s="17">
        <v>3</v>
      </c>
      <c r="Z14" s="17">
        <v>5</v>
      </c>
      <c r="AA14" s="5">
        <f t="shared" si="0"/>
        <v>76</v>
      </c>
      <c r="AB14" s="45">
        <f t="shared" si="6"/>
        <v>4</v>
      </c>
    </row>
    <row r="15" spans="1:30">
      <c r="A15" s="3" t="s">
        <v>93</v>
      </c>
      <c r="B15" s="9" t="s">
        <v>146</v>
      </c>
      <c r="C15" s="9"/>
      <c r="D15" s="10" t="s">
        <v>41</v>
      </c>
      <c r="E15" s="16">
        <v>0.29027777777777802</v>
      </c>
      <c r="F15" s="16">
        <v>0.31276620370370373</v>
      </c>
      <c r="G15" s="16">
        <v>0.46250000000000002</v>
      </c>
      <c r="H15" s="4">
        <v>3.125E-2</v>
      </c>
      <c r="I15" s="4">
        <v>0.16666666666666666</v>
      </c>
      <c r="J15" s="4">
        <f t="shared" si="3"/>
        <v>2.2488425925925704E-2</v>
      </c>
      <c r="K15" s="4">
        <f t="shared" si="1"/>
        <v>0.172222222222222</v>
      </c>
      <c r="L15" s="5">
        <f t="shared" si="4"/>
        <v>20</v>
      </c>
      <c r="M15" s="5">
        <f t="shared" si="5"/>
        <v>16</v>
      </c>
      <c r="N15" s="17">
        <v>7.5</v>
      </c>
      <c r="O15" s="17">
        <v>2</v>
      </c>
      <c r="P15" s="17">
        <v>7</v>
      </c>
      <c r="Q15" s="17">
        <v>3.7</v>
      </c>
      <c r="R15" s="17">
        <v>6.2</v>
      </c>
      <c r="S15" s="17"/>
      <c r="T15" s="17">
        <v>5</v>
      </c>
      <c r="U15" s="17">
        <v>3.5</v>
      </c>
      <c r="V15" s="17">
        <v>2</v>
      </c>
      <c r="W15" s="17">
        <v>6</v>
      </c>
      <c r="X15" s="17">
        <v>2.8</v>
      </c>
      <c r="Y15" s="17">
        <v>2</v>
      </c>
      <c r="Z15" s="17">
        <v>5</v>
      </c>
      <c r="AA15" s="5">
        <f t="shared" si="0"/>
        <v>88.7</v>
      </c>
      <c r="AB15" s="45">
        <f t="shared" si="6"/>
        <v>1</v>
      </c>
    </row>
    <row r="16" spans="1:30">
      <c r="A16" s="3" t="s">
        <v>136</v>
      </c>
      <c r="B16" s="9" t="s">
        <v>140</v>
      </c>
      <c r="C16" s="9"/>
      <c r="D16" s="10" t="s">
        <v>41</v>
      </c>
      <c r="E16" s="16">
        <v>0.29097222222222202</v>
      </c>
      <c r="F16" s="16">
        <v>0.31671296296296297</v>
      </c>
      <c r="G16" s="16">
        <v>0.47569444444444442</v>
      </c>
      <c r="H16" s="4">
        <v>3.125E-2</v>
      </c>
      <c r="I16" s="4">
        <v>0.16666666666666666</v>
      </c>
      <c r="J16" s="4">
        <f t="shared" si="3"/>
        <v>2.5740740740740953E-2</v>
      </c>
      <c r="K16" s="4">
        <f t="shared" si="1"/>
        <v>0.1847222222222224</v>
      </c>
      <c r="L16" s="5">
        <f t="shared" si="4"/>
        <v>20</v>
      </c>
      <c r="M16" s="5">
        <f t="shared" si="5"/>
        <v>7</v>
      </c>
      <c r="N16" s="17">
        <v>7.5</v>
      </c>
      <c r="O16" s="17">
        <v>1.8</v>
      </c>
      <c r="P16" s="17">
        <v>7</v>
      </c>
      <c r="Q16" s="17">
        <v>4</v>
      </c>
      <c r="R16" s="17">
        <v>5.3</v>
      </c>
      <c r="S16" s="17"/>
      <c r="T16" s="17">
        <v>2</v>
      </c>
      <c r="U16" s="17">
        <v>3</v>
      </c>
      <c r="V16" s="17">
        <v>1.2</v>
      </c>
      <c r="W16" s="17">
        <v>6</v>
      </c>
      <c r="X16" s="17">
        <v>1.5</v>
      </c>
      <c r="Y16" s="17">
        <v>2</v>
      </c>
      <c r="Z16" s="17">
        <v>5</v>
      </c>
      <c r="AA16" s="5">
        <f t="shared" si="0"/>
        <v>73.3</v>
      </c>
      <c r="AB16" s="45">
        <f t="shared" si="6"/>
        <v>5</v>
      </c>
    </row>
    <row r="17" spans="1:28" ht="14.25" thickBot="1">
      <c r="A17" s="47" t="s">
        <v>136</v>
      </c>
      <c r="B17" s="24"/>
      <c r="C17" s="24"/>
      <c r="D17" s="25" t="s">
        <v>34</v>
      </c>
      <c r="E17" s="26">
        <v>0.28819444444444398</v>
      </c>
      <c r="F17" s="26">
        <v>0.31952546296296297</v>
      </c>
      <c r="G17" s="26">
        <v>0.50902777777777775</v>
      </c>
      <c r="H17" s="27">
        <v>3.125E-2</v>
      </c>
      <c r="I17" s="27">
        <v>0.16666666666666666</v>
      </c>
      <c r="J17" s="27">
        <f t="shared" si="3"/>
        <v>3.1331018518518994E-2</v>
      </c>
      <c r="K17" s="27">
        <f t="shared" si="1"/>
        <v>0.22083333333333377</v>
      </c>
      <c r="L17" s="28">
        <f t="shared" si="4"/>
        <v>19.899999999999999</v>
      </c>
      <c r="M17" s="28">
        <f t="shared" si="5"/>
        <v>0</v>
      </c>
      <c r="N17" s="29">
        <v>4.0999999999999996</v>
      </c>
      <c r="O17" s="29">
        <v>1.4</v>
      </c>
      <c r="P17" s="29">
        <v>3.5</v>
      </c>
      <c r="Q17" s="29">
        <v>3.9</v>
      </c>
      <c r="R17" s="29">
        <v>4.4000000000000004</v>
      </c>
      <c r="S17" s="29"/>
      <c r="T17" s="29">
        <v>0.5</v>
      </c>
      <c r="U17" s="29">
        <v>0.5</v>
      </c>
      <c r="V17" s="29">
        <v>1.2</v>
      </c>
      <c r="W17" s="29">
        <v>4.8</v>
      </c>
      <c r="X17" s="29">
        <v>2.5</v>
      </c>
      <c r="Y17" s="29">
        <v>3</v>
      </c>
      <c r="Z17" s="29">
        <v>5</v>
      </c>
      <c r="AA17" s="28">
        <f t="shared" si="0"/>
        <v>54.699999999999996</v>
      </c>
      <c r="AB17" s="48">
        <f t="shared" si="6"/>
        <v>6</v>
      </c>
    </row>
    <row r="18" spans="1:28" ht="14.25" thickTop="1">
      <c r="A18" s="8" t="s">
        <v>137</v>
      </c>
      <c r="B18" s="18" t="s">
        <v>47</v>
      </c>
      <c r="C18" s="18"/>
      <c r="D18" s="19" t="s">
        <v>48</v>
      </c>
      <c r="E18" s="20">
        <v>0.29236111111111102</v>
      </c>
      <c r="F18" s="20">
        <v>0.31912037037037039</v>
      </c>
      <c r="G18" s="20">
        <v>0.49861111111111112</v>
      </c>
      <c r="H18" s="60">
        <v>4.1666666666666664E-2</v>
      </c>
      <c r="I18" s="21">
        <v>0.1875</v>
      </c>
      <c r="J18" s="21">
        <f t="shared" si="3"/>
        <v>2.6759259259259371E-2</v>
      </c>
      <c r="K18" s="21">
        <f t="shared" si="1"/>
        <v>0.2062500000000001</v>
      </c>
      <c r="L18" s="22">
        <f t="shared" si="4"/>
        <v>20</v>
      </c>
      <c r="M18" s="22">
        <f t="shared" si="5"/>
        <v>6.5</v>
      </c>
      <c r="N18" s="23">
        <v>8</v>
      </c>
      <c r="O18" s="23">
        <v>2</v>
      </c>
      <c r="P18" s="23">
        <v>8</v>
      </c>
      <c r="Q18" s="23">
        <v>4</v>
      </c>
      <c r="R18" s="23">
        <v>6.4</v>
      </c>
      <c r="S18" s="23"/>
      <c r="T18" s="23">
        <v>6</v>
      </c>
      <c r="U18" s="23">
        <v>4</v>
      </c>
      <c r="V18" s="23">
        <v>2</v>
      </c>
      <c r="W18" s="23">
        <v>6</v>
      </c>
      <c r="X18" s="23">
        <v>4</v>
      </c>
      <c r="Y18" s="23">
        <v>3</v>
      </c>
      <c r="Z18" s="23">
        <v>5</v>
      </c>
      <c r="AA18" s="22">
        <f t="shared" si="0"/>
        <v>84.9</v>
      </c>
      <c r="AB18" s="46">
        <f>RANK(AA18,AA$18:AA$21)</f>
        <v>1</v>
      </c>
    </row>
    <row r="19" spans="1:28">
      <c r="A19" s="3" t="s">
        <v>137</v>
      </c>
      <c r="B19" s="9"/>
      <c r="C19" s="9"/>
      <c r="D19" s="10" t="s">
        <v>49</v>
      </c>
      <c r="E19" s="16">
        <v>0.29375000000000001</v>
      </c>
      <c r="F19" s="16">
        <v>0.32596064814814812</v>
      </c>
      <c r="G19" s="16">
        <v>0.51666666666666672</v>
      </c>
      <c r="H19" s="61">
        <v>4.1666666666666664E-2</v>
      </c>
      <c r="I19" s="4">
        <v>0.1875</v>
      </c>
      <c r="J19" s="4">
        <f t="shared" si="3"/>
        <v>3.2210648148148113E-2</v>
      </c>
      <c r="K19" s="4">
        <f t="shared" si="1"/>
        <v>0.22291666666666671</v>
      </c>
      <c r="L19" s="5">
        <f t="shared" si="4"/>
        <v>20</v>
      </c>
      <c r="M19" s="5">
        <f t="shared" si="5"/>
        <v>0</v>
      </c>
      <c r="N19" s="17">
        <v>8</v>
      </c>
      <c r="O19" s="17">
        <v>2</v>
      </c>
      <c r="P19" s="17">
        <v>8</v>
      </c>
      <c r="Q19" s="17">
        <v>4</v>
      </c>
      <c r="R19" s="17">
        <v>6.4</v>
      </c>
      <c r="S19" s="17"/>
      <c r="T19" s="17">
        <v>4</v>
      </c>
      <c r="U19" s="17">
        <v>3</v>
      </c>
      <c r="V19" s="17">
        <v>1.8</v>
      </c>
      <c r="W19" s="17">
        <v>6</v>
      </c>
      <c r="X19" s="17">
        <v>3.8</v>
      </c>
      <c r="Y19" s="17">
        <v>3</v>
      </c>
      <c r="Z19" s="17">
        <v>5</v>
      </c>
      <c r="AA19" s="5">
        <f t="shared" si="0"/>
        <v>75</v>
      </c>
      <c r="AB19" s="45">
        <f>RANK(AA19,AA$18:AA$21)</f>
        <v>2</v>
      </c>
    </row>
    <row r="20" spans="1:28">
      <c r="A20" s="3" t="s">
        <v>137</v>
      </c>
      <c r="B20" s="9"/>
      <c r="C20" s="9"/>
      <c r="D20" s="10" t="s">
        <v>36</v>
      </c>
      <c r="E20" s="16">
        <v>0.29166666666666702</v>
      </c>
      <c r="F20" s="16">
        <v>0.32921296296296299</v>
      </c>
      <c r="G20" s="16">
        <v>0.54791666666666672</v>
      </c>
      <c r="H20" s="61">
        <v>4.1666666666666664E-2</v>
      </c>
      <c r="I20" s="4">
        <v>0.1875</v>
      </c>
      <c r="J20" s="4">
        <f t="shared" si="3"/>
        <v>3.7546296296295967E-2</v>
      </c>
      <c r="K20" s="4">
        <f t="shared" si="1"/>
        <v>0.2562499999999997</v>
      </c>
      <c r="L20" s="5">
        <f t="shared" si="4"/>
        <v>20</v>
      </c>
      <c r="M20" s="5">
        <f t="shared" si="5"/>
        <v>0</v>
      </c>
      <c r="N20" s="17">
        <v>6.5</v>
      </c>
      <c r="O20" s="17">
        <v>1.8</v>
      </c>
      <c r="P20" s="17">
        <v>7</v>
      </c>
      <c r="Q20" s="17">
        <v>3.5</v>
      </c>
      <c r="R20" s="17">
        <v>4.3</v>
      </c>
      <c r="S20" s="17"/>
      <c r="T20" s="17">
        <v>2</v>
      </c>
      <c r="U20" s="17">
        <v>2.5</v>
      </c>
      <c r="V20" s="17">
        <v>1.4</v>
      </c>
      <c r="W20" s="17">
        <v>4.8</v>
      </c>
      <c r="X20" s="17">
        <v>1.8</v>
      </c>
      <c r="Y20" s="17">
        <v>3</v>
      </c>
      <c r="Z20" s="17">
        <v>5</v>
      </c>
      <c r="AA20" s="5">
        <f t="shared" si="0"/>
        <v>63.599999999999987</v>
      </c>
      <c r="AB20" s="45">
        <f>RANK(AA20,AA$18:AA$21)</f>
        <v>3</v>
      </c>
    </row>
    <row r="21" spans="1:28" ht="14.25" thickBot="1">
      <c r="A21" s="47" t="s">
        <v>137</v>
      </c>
      <c r="B21" s="24"/>
      <c r="C21" s="24"/>
      <c r="D21" s="25" t="s">
        <v>61</v>
      </c>
      <c r="E21" s="26">
        <v>0.29305555555555601</v>
      </c>
      <c r="F21" s="26">
        <v>0.33259259259259261</v>
      </c>
      <c r="G21" s="26">
        <v>0.54583333333333328</v>
      </c>
      <c r="H21" s="62">
        <v>4.1666666666666664E-2</v>
      </c>
      <c r="I21" s="27">
        <v>0.1875</v>
      </c>
      <c r="J21" s="27">
        <f t="shared" si="3"/>
        <v>3.9537037037036593E-2</v>
      </c>
      <c r="K21" s="27">
        <f t="shared" si="1"/>
        <v>0.25277777777777727</v>
      </c>
      <c r="L21" s="28">
        <f t="shared" si="4"/>
        <v>20</v>
      </c>
      <c r="M21" s="28">
        <f t="shared" si="5"/>
        <v>0</v>
      </c>
      <c r="N21" s="29">
        <v>6.5</v>
      </c>
      <c r="O21" s="29">
        <v>1.8</v>
      </c>
      <c r="P21" s="29">
        <v>7.3</v>
      </c>
      <c r="Q21" s="29">
        <v>4</v>
      </c>
      <c r="R21" s="29">
        <v>3.7</v>
      </c>
      <c r="S21" s="29"/>
      <c r="T21" s="29">
        <v>2</v>
      </c>
      <c r="U21" s="29">
        <v>3.2</v>
      </c>
      <c r="V21" s="29">
        <v>1.4</v>
      </c>
      <c r="W21" s="29">
        <v>4.9000000000000004</v>
      </c>
      <c r="X21" s="29">
        <v>1.7</v>
      </c>
      <c r="Y21" s="29">
        <v>2</v>
      </c>
      <c r="Z21" s="29">
        <v>5</v>
      </c>
      <c r="AA21" s="28">
        <f t="shared" si="0"/>
        <v>63.500000000000007</v>
      </c>
      <c r="AB21" s="48">
        <f>RANK(AA21,AA$18:AA$21)</f>
        <v>4</v>
      </c>
    </row>
    <row r="22" spans="1:28" ht="14.25" thickTop="1">
      <c r="A22" s="8" t="s">
        <v>138</v>
      </c>
      <c r="B22" s="18"/>
      <c r="C22" s="18"/>
      <c r="D22" s="19" t="s">
        <v>53</v>
      </c>
      <c r="E22" s="20">
        <v>0.29444444444444401</v>
      </c>
      <c r="F22" s="20">
        <v>0.32609953703703703</v>
      </c>
      <c r="G22" s="20">
        <v>0.54652777777777783</v>
      </c>
      <c r="H22" s="60">
        <v>4.1666666666666664E-2</v>
      </c>
      <c r="I22" s="21">
        <v>0.1875</v>
      </c>
      <c r="J22" s="21">
        <f t="shared" si="3"/>
        <v>3.1655092592593026E-2</v>
      </c>
      <c r="K22" s="21">
        <f t="shared" si="1"/>
        <v>0.25208333333333383</v>
      </c>
      <c r="L22" s="22">
        <f t="shared" si="4"/>
        <v>20</v>
      </c>
      <c r="M22" s="22">
        <f t="shared" si="5"/>
        <v>0</v>
      </c>
      <c r="N22" s="23">
        <v>7.5</v>
      </c>
      <c r="O22" s="23">
        <v>2</v>
      </c>
      <c r="P22" s="23">
        <v>7.8</v>
      </c>
      <c r="Q22" s="23">
        <v>4</v>
      </c>
      <c r="R22" s="23">
        <v>4.9000000000000004</v>
      </c>
      <c r="S22" s="23"/>
      <c r="T22" s="23">
        <v>4</v>
      </c>
      <c r="U22" s="23">
        <v>2</v>
      </c>
      <c r="V22" s="23">
        <v>2</v>
      </c>
      <c r="W22" s="23">
        <v>5.8</v>
      </c>
      <c r="X22" s="23">
        <v>1.5</v>
      </c>
      <c r="Y22" s="23">
        <v>3</v>
      </c>
      <c r="Z22" s="23">
        <v>5</v>
      </c>
      <c r="AA22" s="22">
        <f t="shared" si="0"/>
        <v>69.5</v>
      </c>
      <c r="AB22" s="46">
        <f>RANK(AA22,AA$22)</f>
        <v>1</v>
      </c>
    </row>
    <row r="23" spans="1:28" s="6" customFormat="1">
      <c r="B23" s="11"/>
      <c r="C23" s="11"/>
      <c r="D23" s="49"/>
      <c r="E23" s="13"/>
      <c r="F23" s="13"/>
      <c r="G23" s="13"/>
      <c r="H23" s="13"/>
      <c r="I23" s="13"/>
      <c r="J23" s="13"/>
      <c r="K23" s="13"/>
      <c r="L23" s="50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1:28" s="6" customFormat="1">
      <c r="B24" s="11"/>
      <c r="C24" s="11"/>
      <c r="D24" s="49"/>
      <c r="E24" s="13"/>
      <c r="F24" s="13"/>
      <c r="G24" s="13"/>
      <c r="H24" s="13"/>
      <c r="I24" s="13"/>
      <c r="J24" s="13"/>
      <c r="K24" s="13"/>
      <c r="L24" s="50"/>
      <c r="M24" s="50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1:28" s="6" customFormat="1">
      <c r="B25" s="11" t="s">
        <v>121</v>
      </c>
      <c r="C25" s="11"/>
      <c r="D25" s="49"/>
      <c r="E25" s="13"/>
      <c r="F25" s="13"/>
      <c r="G25" s="13"/>
      <c r="H25" s="13"/>
      <c r="I25" s="13"/>
      <c r="J25" s="13"/>
      <c r="K25" s="13"/>
      <c r="L25" s="50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1:28" s="6" customFormat="1">
      <c r="B26" s="11"/>
      <c r="C26" s="11"/>
      <c r="D26" s="49"/>
      <c r="E26" s="13"/>
      <c r="F26" s="13"/>
      <c r="G26" s="13"/>
      <c r="H26" s="13"/>
      <c r="I26" s="13"/>
      <c r="J26" s="13"/>
      <c r="K26" s="13"/>
      <c r="L26" s="50"/>
      <c r="M26" s="50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</sheetData>
  <phoneticPr fontId="2"/>
  <pageMargins left="0.78700000000000003" right="0.78700000000000003" top="0.98399999999999999" bottom="0.98399999999999999" header="0.51200000000000001" footer="0.51200000000000001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A14" sqref="A14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4.75" style="11" hidden="1" customWidth="1"/>
    <col min="4" max="4" width="10.25" style="12" hidden="1" customWidth="1"/>
    <col min="5" max="5" width="6.625" style="13" customWidth="1"/>
    <col min="6" max="7" width="7.625" style="13" customWidth="1"/>
    <col min="8" max="9" width="11.25" style="13" customWidth="1"/>
    <col min="10" max="11" width="6.625" style="13" customWidth="1"/>
    <col min="12" max="13" width="6.625" style="15" customWidth="1"/>
    <col min="14" max="28" width="6.625" customWidth="1"/>
  </cols>
  <sheetData>
    <row r="1" spans="1:40" s="1" customFormat="1">
      <c r="A1" s="31" t="s">
        <v>84</v>
      </c>
      <c r="B1" s="32" t="s">
        <v>85</v>
      </c>
      <c r="C1" s="32" t="s">
        <v>147</v>
      </c>
      <c r="D1" s="32" t="s">
        <v>86</v>
      </c>
      <c r="E1" s="33" t="s">
        <v>148</v>
      </c>
      <c r="F1" s="33" t="s">
        <v>149</v>
      </c>
      <c r="G1" s="33" t="s">
        <v>150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151</v>
      </c>
      <c r="O1" s="36" t="s">
        <v>152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4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1" t="s">
        <v>92</v>
      </c>
      <c r="AD1" s="1" t="s">
        <v>169</v>
      </c>
      <c r="AE1" s="1" t="s">
        <v>170</v>
      </c>
      <c r="AF1" s="1" t="s">
        <v>171</v>
      </c>
      <c r="AG1" s="1" t="s">
        <v>172</v>
      </c>
      <c r="AH1" s="1" t="s">
        <v>173</v>
      </c>
      <c r="AJ1" s="1" t="s">
        <v>174</v>
      </c>
      <c r="AK1" s="1" t="s">
        <v>175</v>
      </c>
      <c r="AL1" s="1" t="s">
        <v>176</v>
      </c>
      <c r="AM1" s="1" t="s">
        <v>177</v>
      </c>
      <c r="AN1" s="1" t="s">
        <v>178</v>
      </c>
    </row>
    <row r="2" spans="1:40" s="2" customFormat="1">
      <c r="A2" s="37"/>
      <c r="B2" s="38"/>
      <c r="C2" s="38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 t="shared" ref="AA2:AA15" si="0">SUM(L2:Z2)</f>
        <v>100</v>
      </c>
      <c r="AB2" s="44"/>
    </row>
    <row r="3" spans="1:40">
      <c r="A3" s="3" t="s">
        <v>153</v>
      </c>
      <c r="B3" s="9" t="s">
        <v>142</v>
      </c>
      <c r="C3" s="9"/>
      <c r="D3" s="10"/>
      <c r="E3" s="16">
        <v>0.27777777777777779</v>
      </c>
      <c r="F3" s="16">
        <v>0.30885416666666665</v>
      </c>
      <c r="G3" s="16">
        <v>0.4596412037037037</v>
      </c>
      <c r="H3" s="4">
        <v>4.1666666666666664E-2</v>
      </c>
      <c r="I3" s="4">
        <v>0.19444444444444445</v>
      </c>
      <c r="J3" s="4">
        <f t="shared" ref="J3:J15" si="1">F3-E3</f>
        <v>3.1076388888888862E-2</v>
      </c>
      <c r="K3" s="4">
        <f t="shared" ref="K3:K15" si="2">G3-E3</f>
        <v>0.18186342592592591</v>
      </c>
      <c r="L3" s="5">
        <f t="shared" ref="L3:L15" si="3">MAX(IF(J3-H3&gt;0,L$2-ROUND((J3-H3)*60*24*0.5,1),L$2),0)</f>
        <v>20</v>
      </c>
      <c r="M3" s="5">
        <f t="shared" ref="M3:M15" si="4">MAX(IF(K3-I3&gt;0,L$2-ROUND((K3-I3)*60*24*0.5,1),L$2),0)</f>
        <v>20</v>
      </c>
      <c r="N3" s="17">
        <v>7</v>
      </c>
      <c r="O3" s="17">
        <v>2</v>
      </c>
      <c r="P3" s="17">
        <v>7</v>
      </c>
      <c r="Q3" s="17">
        <v>4</v>
      </c>
      <c r="R3" s="17">
        <v>4.8</v>
      </c>
      <c r="S3" s="17">
        <v>1.8</v>
      </c>
      <c r="T3" s="17">
        <v>6</v>
      </c>
      <c r="U3" s="17">
        <v>3.4</v>
      </c>
      <c r="V3" s="17">
        <v>2</v>
      </c>
      <c r="W3" s="17">
        <v>5.8</v>
      </c>
      <c r="X3" s="17">
        <v>4</v>
      </c>
      <c r="Y3" s="17">
        <v>3</v>
      </c>
      <c r="Z3" s="17">
        <v>5</v>
      </c>
      <c r="AA3" s="5">
        <f t="shared" si="0"/>
        <v>95.8</v>
      </c>
      <c r="AB3" s="45">
        <f>RANK(AA3,AA$3:AA$5)</f>
        <v>2</v>
      </c>
      <c r="AD3">
        <v>13.3</v>
      </c>
      <c r="AE3">
        <v>11.7</v>
      </c>
      <c r="AF3">
        <v>13.55</v>
      </c>
      <c r="AG3">
        <v>13.85</v>
      </c>
      <c r="AH3" s="7">
        <f>AVERAGE(AD3:AG3)</f>
        <v>13.1</v>
      </c>
      <c r="AJ3">
        <v>13.7</v>
      </c>
      <c r="AK3">
        <v>11.8</v>
      </c>
      <c r="AL3">
        <v>13.3</v>
      </c>
      <c r="AM3">
        <v>13.9</v>
      </c>
      <c r="AN3" s="7">
        <f>AVERAGE(AJ3:AM3)</f>
        <v>13.174999999999999</v>
      </c>
    </row>
    <row r="4" spans="1:40">
      <c r="A4" s="3" t="s">
        <v>153</v>
      </c>
      <c r="B4" s="9" t="s">
        <v>140</v>
      </c>
      <c r="C4" s="9"/>
      <c r="D4" s="10"/>
      <c r="E4" s="16">
        <v>0.27847222222222223</v>
      </c>
      <c r="F4" s="16">
        <v>0.32395833333333335</v>
      </c>
      <c r="G4" s="16">
        <v>0.46035879629629628</v>
      </c>
      <c r="H4" s="4">
        <v>4.1666666666666664E-2</v>
      </c>
      <c r="I4" s="4">
        <v>0.19444444444444445</v>
      </c>
      <c r="J4" s="4">
        <f t="shared" si="1"/>
        <v>4.5486111111111116E-2</v>
      </c>
      <c r="K4" s="4">
        <f t="shared" si="2"/>
        <v>0.18188657407407405</v>
      </c>
      <c r="L4" s="5">
        <f t="shared" si="3"/>
        <v>17.2</v>
      </c>
      <c r="M4" s="5">
        <f t="shared" si="4"/>
        <v>20</v>
      </c>
      <c r="N4" s="17">
        <v>7.1</v>
      </c>
      <c r="O4" s="17">
        <v>2</v>
      </c>
      <c r="P4" s="17">
        <f>6.9-0.2</f>
        <v>6.7</v>
      </c>
      <c r="Q4" s="17">
        <v>3.5</v>
      </c>
      <c r="R4" s="17">
        <v>2.2999999999999998</v>
      </c>
      <c r="S4" s="17">
        <v>1.4</v>
      </c>
      <c r="T4" s="17">
        <v>3</v>
      </c>
      <c r="U4" s="17">
        <v>2.6</v>
      </c>
      <c r="V4" s="17">
        <v>1.4</v>
      </c>
      <c r="W4" s="17">
        <v>4.2</v>
      </c>
      <c r="X4" s="17">
        <v>1.6</v>
      </c>
      <c r="Y4" s="17">
        <v>3</v>
      </c>
      <c r="Z4" s="17">
        <v>5</v>
      </c>
      <c r="AA4" s="5">
        <f t="shared" si="0"/>
        <v>81</v>
      </c>
      <c r="AB4" s="45">
        <f>RANK(AA4,AA$3:AA$5)</f>
        <v>3</v>
      </c>
      <c r="AD4">
        <v>12.9</v>
      </c>
      <c r="AE4">
        <v>10.35</v>
      </c>
      <c r="AF4">
        <v>11.95</v>
      </c>
      <c r="AG4">
        <v>15.5</v>
      </c>
      <c r="AH4" s="7">
        <f t="shared" ref="AH4:AH15" si="5">AVERAGE(AD4:AG4)</f>
        <v>12.675000000000001</v>
      </c>
      <c r="AJ4">
        <v>12.5</v>
      </c>
      <c r="AK4">
        <v>11.9</v>
      </c>
      <c r="AL4">
        <v>10.199999999999999</v>
      </c>
      <c r="AM4">
        <v>15</v>
      </c>
      <c r="AN4" s="7">
        <f t="shared" ref="AN4:AN15" si="6">AVERAGE(AJ4:AM4)</f>
        <v>12.399999999999999</v>
      </c>
    </row>
    <row r="5" spans="1:40" ht="14.25" thickBot="1">
      <c r="A5" s="63" t="s">
        <v>154</v>
      </c>
      <c r="B5" s="64" t="s">
        <v>155</v>
      </c>
      <c r="C5" s="64"/>
      <c r="D5" s="65"/>
      <c r="E5" s="66">
        <v>0.27916666666666667</v>
      </c>
      <c r="F5" s="66">
        <v>0.30700231481481483</v>
      </c>
      <c r="G5" s="66">
        <v>0.4677546296296296</v>
      </c>
      <c r="H5" s="67">
        <v>4.1666666666666664E-2</v>
      </c>
      <c r="I5" s="67">
        <v>0.19444444444444445</v>
      </c>
      <c r="J5" s="67">
        <f t="shared" si="1"/>
        <v>2.7835648148148151E-2</v>
      </c>
      <c r="K5" s="67">
        <f t="shared" si="2"/>
        <v>0.18858796296296293</v>
      </c>
      <c r="L5" s="68">
        <f t="shared" si="3"/>
        <v>20</v>
      </c>
      <c r="M5" s="68">
        <f t="shared" si="4"/>
        <v>20</v>
      </c>
      <c r="N5" s="69">
        <v>8</v>
      </c>
      <c r="O5" s="69">
        <v>2</v>
      </c>
      <c r="P5" s="69">
        <v>8</v>
      </c>
      <c r="Q5" s="69">
        <v>4</v>
      </c>
      <c r="R5" s="69">
        <v>4.3</v>
      </c>
      <c r="S5" s="69">
        <v>2</v>
      </c>
      <c r="T5" s="69">
        <v>6</v>
      </c>
      <c r="U5" s="69">
        <v>3.4</v>
      </c>
      <c r="V5" s="69">
        <v>2</v>
      </c>
      <c r="W5" s="69">
        <v>5.9</v>
      </c>
      <c r="X5" s="69">
        <v>3.8</v>
      </c>
      <c r="Y5" s="69">
        <v>3</v>
      </c>
      <c r="Z5" s="69">
        <v>5</v>
      </c>
      <c r="AA5" s="68">
        <f t="shared" si="0"/>
        <v>97.4</v>
      </c>
      <c r="AB5" s="70">
        <f>RANK(AA5,AA$3:AA$5)</f>
        <v>1</v>
      </c>
      <c r="AD5">
        <v>13.85</v>
      </c>
      <c r="AE5">
        <v>11</v>
      </c>
      <c r="AF5">
        <v>11.3</v>
      </c>
      <c r="AG5">
        <v>11.55</v>
      </c>
      <c r="AH5" s="7">
        <f t="shared" si="5"/>
        <v>11.925000000000001</v>
      </c>
      <c r="AJ5">
        <v>11.6</v>
      </c>
      <c r="AK5">
        <v>11.4</v>
      </c>
      <c r="AL5">
        <v>11.1</v>
      </c>
      <c r="AM5">
        <v>13.8</v>
      </c>
      <c r="AN5" s="7">
        <f t="shared" si="6"/>
        <v>11.975000000000001</v>
      </c>
    </row>
    <row r="6" spans="1:40">
      <c r="A6" s="8" t="s">
        <v>163</v>
      </c>
      <c r="B6" s="18" t="s">
        <v>164</v>
      </c>
      <c r="C6" s="18"/>
      <c r="D6" s="19"/>
      <c r="E6" s="20">
        <v>0.27986111111111112</v>
      </c>
      <c r="F6" s="20">
        <v>0.31300925925925926</v>
      </c>
      <c r="G6" s="20">
        <v>0.46285879629629628</v>
      </c>
      <c r="H6" s="21">
        <v>4.1666666666666664E-2</v>
      </c>
      <c r="I6" s="21">
        <v>0.19444444444444445</v>
      </c>
      <c r="J6" s="21">
        <f>F6-E6</f>
        <v>3.3148148148148149E-2</v>
      </c>
      <c r="K6" s="21">
        <f>G6-E6</f>
        <v>0.18299768518518517</v>
      </c>
      <c r="L6" s="22">
        <f>MAX(IF(J6-H6&gt;0,L$2-ROUND((J6-H6)*60*24*0.5,1),L$2),0)</f>
        <v>20</v>
      </c>
      <c r="M6" s="22">
        <f>MAX(IF(K6-I6&gt;0,L$2-ROUND((K6-I6)*60*24*0.5,1),L$2),0)</f>
        <v>20</v>
      </c>
      <c r="N6" s="23">
        <v>5.8</v>
      </c>
      <c r="O6" s="23">
        <v>2</v>
      </c>
      <c r="P6" s="23">
        <v>7.1</v>
      </c>
      <c r="Q6" s="23">
        <v>2.6</v>
      </c>
      <c r="R6" s="23">
        <v>2.4</v>
      </c>
      <c r="S6" s="23">
        <v>1.2</v>
      </c>
      <c r="T6" s="23">
        <v>6</v>
      </c>
      <c r="U6" s="23">
        <v>4</v>
      </c>
      <c r="V6" s="23">
        <v>1.8</v>
      </c>
      <c r="W6" s="23">
        <v>5.4</v>
      </c>
      <c r="X6" s="23">
        <v>4</v>
      </c>
      <c r="Y6" s="23">
        <v>3</v>
      </c>
      <c r="Z6" s="23">
        <v>5</v>
      </c>
      <c r="AA6" s="22">
        <f>SUM(L6:Z6)</f>
        <v>90.3</v>
      </c>
      <c r="AB6" s="46">
        <f>RANK(AA6,AA$6:AA$12)</f>
        <v>4</v>
      </c>
      <c r="AD6">
        <v>11.7</v>
      </c>
      <c r="AE6">
        <v>12.6</v>
      </c>
      <c r="AF6">
        <v>11.7</v>
      </c>
      <c r="AG6">
        <v>10.85</v>
      </c>
      <c r="AH6" s="7">
        <f t="shared" si="5"/>
        <v>11.7125</v>
      </c>
      <c r="AJ6">
        <v>11.8</v>
      </c>
      <c r="AK6">
        <v>12.6</v>
      </c>
      <c r="AL6">
        <v>11.6</v>
      </c>
      <c r="AM6">
        <v>10.8</v>
      </c>
      <c r="AN6" s="7">
        <f t="shared" si="6"/>
        <v>11.7</v>
      </c>
    </row>
    <row r="7" spans="1:40">
      <c r="A7" s="3" t="s">
        <v>163</v>
      </c>
      <c r="B7" s="9" t="s">
        <v>165</v>
      </c>
      <c r="C7" s="9"/>
      <c r="D7" s="10"/>
      <c r="E7" s="16">
        <v>0.28055555555555556</v>
      </c>
      <c r="F7" s="16">
        <v>0.33248842592592592</v>
      </c>
      <c r="G7" s="16">
        <v>0.50059027777777776</v>
      </c>
      <c r="H7" s="4">
        <v>4.1666666666666664E-2</v>
      </c>
      <c r="I7" s="4">
        <v>0.19444444444444445</v>
      </c>
      <c r="J7" s="4">
        <f>F7-E7</f>
        <v>5.1932870370370365E-2</v>
      </c>
      <c r="K7" s="4">
        <f>G7-E7</f>
        <v>0.2200347222222222</v>
      </c>
      <c r="L7" s="5">
        <f>MAX(IF(J7-H7&gt;0,L$2-ROUND((J7-H7)*60*24*0.5,1),L$2),0)</f>
        <v>12.6</v>
      </c>
      <c r="M7" s="5">
        <f>MAX(IF(K7-I7&gt;0,L$2-ROUND((K7-I7)*60*24*0.5,1),L$2),0)</f>
        <v>1.6000000000000014</v>
      </c>
      <c r="N7" s="17">
        <v>7.5</v>
      </c>
      <c r="O7" s="17">
        <v>2</v>
      </c>
      <c r="P7" s="17">
        <v>7.8</v>
      </c>
      <c r="Q7" s="17">
        <v>3.8</v>
      </c>
      <c r="R7" s="17">
        <v>1.2</v>
      </c>
      <c r="S7" s="17">
        <v>0.6</v>
      </c>
      <c r="T7" s="17">
        <v>1</v>
      </c>
      <c r="U7" s="17">
        <v>3.2</v>
      </c>
      <c r="V7" s="17">
        <v>1</v>
      </c>
      <c r="W7" s="17">
        <v>4.9000000000000004</v>
      </c>
      <c r="X7" s="17">
        <v>1.6</v>
      </c>
      <c r="Y7" s="17">
        <v>3</v>
      </c>
      <c r="Z7" s="17">
        <v>5</v>
      </c>
      <c r="AA7" s="5">
        <f>SUM(L7:Z7)</f>
        <v>56.800000000000011</v>
      </c>
      <c r="AB7" s="46">
        <f t="shared" ref="AB7:AB12" si="7">RANK(AA7,AA$6:AA$12)</f>
        <v>7</v>
      </c>
      <c r="AD7">
        <v>11.15</v>
      </c>
      <c r="AE7">
        <v>10.65</v>
      </c>
      <c r="AF7">
        <v>13.05</v>
      </c>
      <c r="AH7" s="7">
        <f t="shared" si="5"/>
        <v>11.616666666666667</v>
      </c>
      <c r="AJ7">
        <v>11.7</v>
      </c>
      <c r="AK7">
        <v>12.4</v>
      </c>
      <c r="AL7">
        <v>10.6</v>
      </c>
      <c r="AN7" s="7">
        <f t="shared" si="6"/>
        <v>11.566666666666668</v>
      </c>
    </row>
    <row r="8" spans="1:40">
      <c r="A8" s="3" t="s">
        <v>93</v>
      </c>
      <c r="B8" s="9" t="s">
        <v>157</v>
      </c>
      <c r="C8" s="9"/>
      <c r="D8" s="10"/>
      <c r="E8" s="16">
        <v>0.28263888888888888</v>
      </c>
      <c r="F8" s="16">
        <v>0.3165277777777778</v>
      </c>
      <c r="G8" s="16">
        <v>0.4649652777777778</v>
      </c>
      <c r="H8" s="4">
        <v>4.1666666666666664E-2</v>
      </c>
      <c r="I8" s="4">
        <v>0.19444444444444445</v>
      </c>
      <c r="J8" s="4">
        <f>F8-E8</f>
        <v>3.3888888888888913E-2</v>
      </c>
      <c r="K8" s="4">
        <f>G8-E8</f>
        <v>0.18232638888888891</v>
      </c>
      <c r="L8" s="5">
        <f>MAX(IF(J8-H8&gt;0,L$2-ROUND((J8-H8)*60*24*0.5,1),L$2),0)</f>
        <v>20</v>
      </c>
      <c r="M8" s="5">
        <f>MAX(IF(K8-I8&gt;0,L$2-ROUND((K8-I8)*60*24*0.5,1),L$2),0)</f>
        <v>20</v>
      </c>
      <c r="N8" s="17">
        <v>6.5</v>
      </c>
      <c r="O8" s="17">
        <v>2</v>
      </c>
      <c r="P8" s="17">
        <f>7.9-0.2</f>
        <v>7.7</v>
      </c>
      <c r="Q8" s="17">
        <v>3</v>
      </c>
      <c r="R8" s="17">
        <v>2.2000000000000002</v>
      </c>
      <c r="S8" s="17">
        <v>1.6</v>
      </c>
      <c r="T8" s="17">
        <v>4</v>
      </c>
      <c r="U8" s="17">
        <v>4</v>
      </c>
      <c r="V8" s="17">
        <v>2</v>
      </c>
      <c r="W8" s="17">
        <v>5.6</v>
      </c>
      <c r="X8" s="17">
        <v>3.5</v>
      </c>
      <c r="Y8" s="17">
        <v>2.5</v>
      </c>
      <c r="Z8" s="17">
        <v>5</v>
      </c>
      <c r="AA8" s="5">
        <f>SUM(L8:Z8)</f>
        <v>89.6</v>
      </c>
      <c r="AB8" s="46">
        <f t="shared" si="7"/>
        <v>5</v>
      </c>
      <c r="AD8">
        <v>12.6</v>
      </c>
      <c r="AE8">
        <v>11.25</v>
      </c>
      <c r="AF8">
        <v>12.35</v>
      </c>
      <c r="AH8" s="7">
        <f t="shared" si="5"/>
        <v>12.066666666666668</v>
      </c>
      <c r="AJ8">
        <v>12.2</v>
      </c>
      <c r="AK8">
        <v>13.5</v>
      </c>
      <c r="AL8">
        <v>9.6999999999999993</v>
      </c>
      <c r="AN8" s="7">
        <f t="shared" si="6"/>
        <v>11.799999999999999</v>
      </c>
    </row>
    <row r="9" spans="1:40">
      <c r="A9" s="3" t="s">
        <v>163</v>
      </c>
      <c r="B9" s="9" t="s">
        <v>161</v>
      </c>
      <c r="C9" s="9"/>
      <c r="D9" s="10"/>
      <c r="E9" s="16">
        <v>0.28125</v>
      </c>
      <c r="F9" s="16">
        <v>0.30966435185185187</v>
      </c>
      <c r="G9" s="16">
        <v>0.45519675925925923</v>
      </c>
      <c r="H9" s="4">
        <v>4.1666666666666664E-2</v>
      </c>
      <c r="I9" s="4">
        <v>0.19444444444444445</v>
      </c>
      <c r="J9" s="4">
        <f t="shared" si="1"/>
        <v>2.8414351851851871E-2</v>
      </c>
      <c r="K9" s="4">
        <f t="shared" si="2"/>
        <v>0.17394675925925923</v>
      </c>
      <c r="L9" s="5">
        <f t="shared" si="3"/>
        <v>20</v>
      </c>
      <c r="M9" s="5">
        <f t="shared" si="4"/>
        <v>20</v>
      </c>
      <c r="N9" s="17">
        <v>7.5</v>
      </c>
      <c r="O9" s="17">
        <v>2</v>
      </c>
      <c r="P9" s="17">
        <v>8</v>
      </c>
      <c r="Q9" s="17">
        <v>4</v>
      </c>
      <c r="R9" s="17">
        <v>4.5999999999999996</v>
      </c>
      <c r="S9" s="17">
        <v>2</v>
      </c>
      <c r="T9" s="17">
        <v>6</v>
      </c>
      <c r="U9" s="17">
        <v>3.8</v>
      </c>
      <c r="V9" s="17">
        <v>1.8</v>
      </c>
      <c r="W9" s="17">
        <v>6</v>
      </c>
      <c r="X9" s="17">
        <v>3.8</v>
      </c>
      <c r="Y9" s="17">
        <v>3</v>
      </c>
      <c r="Z9" s="17">
        <v>5</v>
      </c>
      <c r="AA9" s="5">
        <f t="shared" si="0"/>
        <v>97.499999999999986</v>
      </c>
      <c r="AB9" s="46">
        <f t="shared" si="7"/>
        <v>1</v>
      </c>
      <c r="AD9">
        <v>11.2</v>
      </c>
      <c r="AE9">
        <v>11.3</v>
      </c>
      <c r="AF9">
        <v>14.75</v>
      </c>
      <c r="AH9" s="7">
        <f t="shared" si="5"/>
        <v>12.416666666666666</v>
      </c>
      <c r="AJ9">
        <v>14.6</v>
      </c>
      <c r="AK9">
        <v>11.8</v>
      </c>
      <c r="AL9">
        <v>11.8</v>
      </c>
      <c r="AN9" s="7">
        <f t="shared" si="6"/>
        <v>12.733333333333334</v>
      </c>
    </row>
    <row r="10" spans="1:40">
      <c r="A10" s="3" t="s">
        <v>93</v>
      </c>
      <c r="B10" s="9" t="s">
        <v>158</v>
      </c>
      <c r="C10" s="9"/>
      <c r="D10" s="10"/>
      <c r="E10" s="16">
        <v>0.28194444444444444</v>
      </c>
      <c r="F10" s="16">
        <v>0.31172453703703701</v>
      </c>
      <c r="G10" s="16">
        <v>0.43608796296296298</v>
      </c>
      <c r="H10" s="4">
        <v>4.1666666666666664E-2</v>
      </c>
      <c r="I10" s="4">
        <v>0.19444444444444445</v>
      </c>
      <c r="J10" s="4">
        <f>F10-E10</f>
        <v>2.9780092592592566E-2</v>
      </c>
      <c r="K10" s="4">
        <f>G10-E10</f>
        <v>0.15414351851851854</v>
      </c>
      <c r="L10" s="5">
        <f>MAX(IF(J10-H10&gt;0,L$2-ROUND((J10-H10)*60*24*0.5,1),L$2),0)</f>
        <v>20</v>
      </c>
      <c r="M10" s="5">
        <f>MAX(IF(K10-I10&gt;0,L$2-ROUND((K10-I10)*60*24*0.5,1),L$2),0)</f>
        <v>20</v>
      </c>
      <c r="N10" s="17">
        <v>6</v>
      </c>
      <c r="O10" s="17">
        <v>1.8</v>
      </c>
      <c r="P10" s="17">
        <v>7</v>
      </c>
      <c r="Q10" s="17">
        <v>3.5</v>
      </c>
      <c r="R10" s="17">
        <v>4.7</v>
      </c>
      <c r="S10" s="17">
        <v>0.8</v>
      </c>
      <c r="T10" s="17">
        <v>4</v>
      </c>
      <c r="U10" s="17">
        <v>3.4</v>
      </c>
      <c r="V10" s="17">
        <v>2</v>
      </c>
      <c r="W10" s="17">
        <v>5.2</v>
      </c>
      <c r="X10" s="17">
        <v>1</v>
      </c>
      <c r="Y10" s="17">
        <v>3</v>
      </c>
      <c r="Z10" s="17">
        <v>5</v>
      </c>
      <c r="AA10" s="5">
        <f>SUM(L10:Z10)</f>
        <v>87.4</v>
      </c>
      <c r="AB10" s="46">
        <f t="shared" si="7"/>
        <v>6</v>
      </c>
      <c r="AD10">
        <v>12.65</v>
      </c>
      <c r="AE10">
        <v>14.7</v>
      </c>
      <c r="AF10">
        <v>6.65</v>
      </c>
      <c r="AH10" s="7">
        <f t="shared" si="5"/>
        <v>11.333333333333334</v>
      </c>
      <c r="AJ10">
        <v>6.8</v>
      </c>
      <c r="AK10">
        <v>12.6</v>
      </c>
      <c r="AL10">
        <v>14.7</v>
      </c>
      <c r="AN10" s="7">
        <f t="shared" si="6"/>
        <v>11.366666666666665</v>
      </c>
    </row>
    <row r="11" spans="1:40">
      <c r="A11" s="3" t="s">
        <v>163</v>
      </c>
      <c r="B11" s="9" t="s">
        <v>162</v>
      </c>
      <c r="C11" s="9"/>
      <c r="D11" s="10"/>
      <c r="E11" s="16">
        <v>0.28333333333333333</v>
      </c>
      <c r="F11" s="16">
        <v>0.3195486111111111</v>
      </c>
      <c r="G11" s="16">
        <v>0.46562500000000001</v>
      </c>
      <c r="H11" s="4">
        <v>4.1666666666666664E-2</v>
      </c>
      <c r="I11" s="4">
        <v>0.19444444444444445</v>
      </c>
      <c r="J11" s="4">
        <f t="shared" si="1"/>
        <v>3.6215277777777777E-2</v>
      </c>
      <c r="K11" s="4">
        <f t="shared" si="2"/>
        <v>0.18229166666666669</v>
      </c>
      <c r="L11" s="5">
        <f t="shared" si="3"/>
        <v>20</v>
      </c>
      <c r="M11" s="5">
        <f t="shared" si="4"/>
        <v>20</v>
      </c>
      <c r="N11" s="17">
        <v>8</v>
      </c>
      <c r="O11" s="17">
        <v>2</v>
      </c>
      <c r="P11" s="17">
        <v>8</v>
      </c>
      <c r="Q11" s="17">
        <v>3.5</v>
      </c>
      <c r="R11" s="17">
        <v>3.3</v>
      </c>
      <c r="S11" s="17">
        <v>1.6</v>
      </c>
      <c r="T11" s="17">
        <v>6</v>
      </c>
      <c r="U11" s="17">
        <v>3.6</v>
      </c>
      <c r="V11" s="17">
        <v>1.6</v>
      </c>
      <c r="W11" s="17">
        <v>5.0999999999999996</v>
      </c>
      <c r="X11" s="17">
        <v>3.5</v>
      </c>
      <c r="Y11" s="17">
        <v>3</v>
      </c>
      <c r="Z11" s="17">
        <v>5</v>
      </c>
      <c r="AA11" s="5">
        <f t="shared" si="0"/>
        <v>94.199999999999974</v>
      </c>
      <c r="AB11" s="46">
        <f t="shared" si="7"/>
        <v>3</v>
      </c>
      <c r="AD11">
        <v>15.5</v>
      </c>
      <c r="AE11">
        <v>10.35</v>
      </c>
      <c r="AF11">
        <v>13.15</v>
      </c>
      <c r="AH11" s="7">
        <f t="shared" si="5"/>
        <v>13</v>
      </c>
      <c r="AJ11">
        <v>15.5</v>
      </c>
      <c r="AK11">
        <v>10.4</v>
      </c>
      <c r="AL11">
        <v>13.2</v>
      </c>
      <c r="AN11" s="7">
        <f t="shared" si="6"/>
        <v>13.033333333333331</v>
      </c>
    </row>
    <row r="12" spans="1:40" ht="14.25" thickBot="1">
      <c r="A12" s="47" t="s">
        <v>93</v>
      </c>
      <c r="B12" s="24" t="s">
        <v>42</v>
      </c>
      <c r="C12" s="24"/>
      <c r="D12" s="25"/>
      <c r="E12" s="26">
        <v>0.28402777777777777</v>
      </c>
      <c r="F12" s="26">
        <v>0.31418981481481484</v>
      </c>
      <c r="G12" s="26">
        <v>0.46461805555555552</v>
      </c>
      <c r="H12" s="27">
        <v>4.1666666666666664E-2</v>
      </c>
      <c r="I12" s="27">
        <v>0.19444444444444445</v>
      </c>
      <c r="J12" s="27">
        <f t="shared" si="1"/>
        <v>3.0162037037037071E-2</v>
      </c>
      <c r="K12" s="27">
        <f t="shared" si="2"/>
        <v>0.18059027777777775</v>
      </c>
      <c r="L12" s="28">
        <f t="shared" si="3"/>
        <v>20</v>
      </c>
      <c r="M12" s="28">
        <f t="shared" si="4"/>
        <v>20</v>
      </c>
      <c r="N12" s="29">
        <v>6.8</v>
      </c>
      <c r="O12" s="29">
        <v>1.8</v>
      </c>
      <c r="P12" s="29">
        <v>7.8</v>
      </c>
      <c r="Q12" s="29">
        <v>3.6</v>
      </c>
      <c r="R12" s="29">
        <v>4.7</v>
      </c>
      <c r="S12" s="29">
        <v>1.2</v>
      </c>
      <c r="T12" s="29">
        <v>7</v>
      </c>
      <c r="U12" s="29">
        <v>3.6</v>
      </c>
      <c r="V12" s="29">
        <v>1.8</v>
      </c>
      <c r="W12" s="29">
        <v>5.8</v>
      </c>
      <c r="X12" s="29">
        <v>4</v>
      </c>
      <c r="Y12" s="29">
        <v>3</v>
      </c>
      <c r="Z12" s="29">
        <v>5</v>
      </c>
      <c r="AA12" s="28">
        <f t="shared" si="0"/>
        <v>96.09999999999998</v>
      </c>
      <c r="AB12" s="48">
        <f t="shared" si="7"/>
        <v>2</v>
      </c>
      <c r="AD12">
        <v>12.95</v>
      </c>
      <c r="AE12">
        <v>13.05</v>
      </c>
      <c r="AF12">
        <v>13.85</v>
      </c>
      <c r="AH12" s="7">
        <f t="shared" si="5"/>
        <v>13.283333333333333</v>
      </c>
      <c r="AJ12">
        <v>13.3</v>
      </c>
      <c r="AK12">
        <v>11.1</v>
      </c>
      <c r="AL12">
        <v>15.7</v>
      </c>
      <c r="AN12" s="7">
        <f t="shared" si="6"/>
        <v>13.366666666666665</v>
      </c>
    </row>
    <row r="13" spans="1:40" ht="14.25" thickTop="1">
      <c r="A13" s="8" t="s">
        <v>159</v>
      </c>
      <c r="B13" s="18" t="s">
        <v>47</v>
      </c>
      <c r="C13" s="18"/>
      <c r="D13" s="19"/>
      <c r="E13" s="20">
        <v>0.28472222222222221</v>
      </c>
      <c r="F13" s="20">
        <v>0.32879629629629631</v>
      </c>
      <c r="G13" s="20">
        <v>0.48871527777777773</v>
      </c>
      <c r="H13" s="21">
        <v>4.8611111111111112E-2</v>
      </c>
      <c r="I13" s="21">
        <v>0.20833333333333334</v>
      </c>
      <c r="J13" s="21">
        <f t="shared" si="1"/>
        <v>4.4074074074074099E-2</v>
      </c>
      <c r="K13" s="21">
        <f t="shared" si="2"/>
        <v>0.20399305555555552</v>
      </c>
      <c r="L13" s="22">
        <f t="shared" si="3"/>
        <v>20</v>
      </c>
      <c r="M13" s="22">
        <f t="shared" si="4"/>
        <v>20</v>
      </c>
      <c r="N13" s="23">
        <v>7.3</v>
      </c>
      <c r="O13" s="23">
        <v>2</v>
      </c>
      <c r="P13" s="23">
        <v>7.6</v>
      </c>
      <c r="Q13" s="23">
        <v>4</v>
      </c>
      <c r="R13" s="23">
        <v>4</v>
      </c>
      <c r="S13" s="23">
        <v>1.6</v>
      </c>
      <c r="T13" s="23">
        <v>5</v>
      </c>
      <c r="U13" s="23">
        <v>3.8</v>
      </c>
      <c r="V13" s="23">
        <v>2</v>
      </c>
      <c r="W13" s="23">
        <v>5.8</v>
      </c>
      <c r="X13" s="23">
        <v>3.7</v>
      </c>
      <c r="Y13" s="23">
        <v>3</v>
      </c>
      <c r="Z13" s="23">
        <v>5</v>
      </c>
      <c r="AA13" s="22">
        <f t="shared" si="0"/>
        <v>94.8</v>
      </c>
      <c r="AB13" s="46">
        <f>RANK(AA13,AA$13:AA$14)</f>
        <v>1</v>
      </c>
      <c r="AD13">
        <v>12.05</v>
      </c>
      <c r="AE13">
        <v>12.3</v>
      </c>
      <c r="AF13">
        <v>10.55</v>
      </c>
      <c r="AG13">
        <v>12.05</v>
      </c>
      <c r="AH13" s="7">
        <f t="shared" si="5"/>
        <v>11.737500000000001</v>
      </c>
      <c r="AJ13">
        <v>12.4</v>
      </c>
      <c r="AK13">
        <v>10.199999999999999</v>
      </c>
      <c r="AL13">
        <v>11.2</v>
      </c>
      <c r="AM13">
        <v>11.7</v>
      </c>
      <c r="AN13" s="7">
        <f t="shared" si="6"/>
        <v>11.375</v>
      </c>
    </row>
    <row r="14" spans="1:40" ht="14.25" thickBot="1">
      <c r="A14" s="63" t="s">
        <v>159</v>
      </c>
      <c r="B14" s="64" t="s">
        <v>146</v>
      </c>
      <c r="C14" s="64"/>
      <c r="D14" s="65"/>
      <c r="E14" s="66">
        <v>0.2902777777777778</v>
      </c>
      <c r="F14" s="66">
        <v>0.33807870370370369</v>
      </c>
      <c r="G14" s="66">
        <v>0.49722222222222223</v>
      </c>
      <c r="H14" s="67">
        <v>4.8611111111111112E-2</v>
      </c>
      <c r="I14" s="67">
        <v>0.20833333333333334</v>
      </c>
      <c r="J14" s="67">
        <f t="shared" si="1"/>
        <v>4.7800925925925886E-2</v>
      </c>
      <c r="K14" s="67">
        <f t="shared" si="2"/>
        <v>0.20694444444444443</v>
      </c>
      <c r="L14" s="68">
        <f t="shared" si="3"/>
        <v>20</v>
      </c>
      <c r="M14" s="68">
        <f t="shared" si="4"/>
        <v>20</v>
      </c>
      <c r="N14" s="69">
        <v>8</v>
      </c>
      <c r="O14" s="69">
        <v>1.6</v>
      </c>
      <c r="P14" s="69">
        <v>7.3</v>
      </c>
      <c r="Q14" s="69">
        <v>3.8</v>
      </c>
      <c r="R14" s="69">
        <v>1.7</v>
      </c>
      <c r="S14" s="69">
        <v>1</v>
      </c>
      <c r="T14" s="69">
        <v>1</v>
      </c>
      <c r="U14" s="69">
        <v>2.8</v>
      </c>
      <c r="V14" s="69">
        <v>2</v>
      </c>
      <c r="W14" s="69">
        <v>5.8</v>
      </c>
      <c r="X14" s="69">
        <v>0.5</v>
      </c>
      <c r="Y14" s="69">
        <v>3</v>
      </c>
      <c r="Z14" s="69">
        <v>5</v>
      </c>
      <c r="AA14" s="68">
        <f t="shared" si="0"/>
        <v>83.5</v>
      </c>
      <c r="AB14" s="70">
        <f>RANK(AA14,AA$13:AA$14)</f>
        <v>2</v>
      </c>
      <c r="AD14">
        <v>11</v>
      </c>
      <c r="AE14">
        <v>11.55</v>
      </c>
      <c r="AF14">
        <v>10.55</v>
      </c>
      <c r="AG14">
        <v>11.7</v>
      </c>
      <c r="AH14" s="7">
        <f t="shared" si="5"/>
        <v>11.2</v>
      </c>
      <c r="AJ14">
        <v>10.8</v>
      </c>
      <c r="AK14">
        <v>10.3</v>
      </c>
      <c r="AL14">
        <v>11.4</v>
      </c>
      <c r="AM14">
        <v>11.2</v>
      </c>
      <c r="AN14" s="7">
        <f t="shared" si="6"/>
        <v>10.925000000000001</v>
      </c>
    </row>
    <row r="15" spans="1:40">
      <c r="A15" s="8" t="s">
        <v>160</v>
      </c>
      <c r="B15" s="18" t="s">
        <v>156</v>
      </c>
      <c r="C15" s="18"/>
      <c r="D15" s="19"/>
      <c r="E15" s="20">
        <v>0.28680555555555554</v>
      </c>
      <c r="F15" s="20">
        <v>0.33431712962962962</v>
      </c>
      <c r="G15" s="20">
        <v>0.49644675925925924</v>
      </c>
      <c r="H15" s="21">
        <v>4.8611111111111112E-2</v>
      </c>
      <c r="I15" s="21">
        <v>0.20833333333333334</v>
      </c>
      <c r="J15" s="21">
        <f t="shared" si="1"/>
        <v>4.7511574074074081E-2</v>
      </c>
      <c r="K15" s="21">
        <f t="shared" si="2"/>
        <v>0.2096412037037037</v>
      </c>
      <c r="L15" s="22">
        <f t="shared" si="3"/>
        <v>20</v>
      </c>
      <c r="M15" s="22">
        <f t="shared" si="4"/>
        <v>19.100000000000001</v>
      </c>
      <c r="N15" s="23">
        <v>7.8</v>
      </c>
      <c r="O15" s="23">
        <v>1.8</v>
      </c>
      <c r="P15" s="23">
        <v>8</v>
      </c>
      <c r="Q15" s="23">
        <v>4</v>
      </c>
      <c r="R15" s="23">
        <v>1.4</v>
      </c>
      <c r="S15" s="23">
        <v>1.8</v>
      </c>
      <c r="T15" s="23">
        <v>2</v>
      </c>
      <c r="U15" s="23">
        <v>3.4</v>
      </c>
      <c r="V15" s="23">
        <v>2</v>
      </c>
      <c r="W15" s="23">
        <v>5.0999999999999996</v>
      </c>
      <c r="X15" s="23">
        <v>2</v>
      </c>
      <c r="Y15" s="23">
        <v>3</v>
      </c>
      <c r="Z15" s="23">
        <v>5</v>
      </c>
      <c r="AA15" s="22">
        <f t="shared" si="0"/>
        <v>86.399999999999991</v>
      </c>
      <c r="AB15" s="46">
        <f>RANK(AA15,AA$15)</f>
        <v>1</v>
      </c>
      <c r="AD15">
        <v>11.4</v>
      </c>
      <c r="AE15">
        <v>11.55</v>
      </c>
      <c r="AF15">
        <v>13.6</v>
      </c>
      <c r="AH15" s="7">
        <f t="shared" si="5"/>
        <v>12.183333333333335</v>
      </c>
      <c r="AJ15">
        <v>10.9</v>
      </c>
      <c r="AK15">
        <v>13.2</v>
      </c>
      <c r="AL15">
        <v>11.4</v>
      </c>
      <c r="AN15" s="7">
        <f t="shared" si="6"/>
        <v>11.833333333333334</v>
      </c>
    </row>
    <row r="16" spans="1:40" s="6" customFormat="1">
      <c r="B16" s="11"/>
      <c r="C16" s="11"/>
      <c r="D16" s="49"/>
      <c r="E16" s="13"/>
      <c r="F16" s="13"/>
      <c r="G16" s="13"/>
      <c r="H16" s="13"/>
      <c r="I16" s="13"/>
      <c r="J16" s="13"/>
      <c r="K16" s="13"/>
      <c r="L16" s="50"/>
      <c r="M16" s="5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27" s="6" customFormat="1">
      <c r="B17" s="11" t="s">
        <v>167</v>
      </c>
      <c r="C17" s="11"/>
      <c r="D17" s="49"/>
      <c r="E17" s="13"/>
      <c r="F17" s="13"/>
      <c r="G17" s="13"/>
      <c r="H17" s="13"/>
      <c r="I17" s="13"/>
      <c r="J17" s="13"/>
      <c r="K17" s="13"/>
      <c r="L17" s="50"/>
      <c r="M17" s="50"/>
      <c r="N17" s="51">
        <f>MAX(N3:N15)</f>
        <v>8</v>
      </c>
      <c r="O17" s="51">
        <f t="shared" ref="O17:AA17" si="8">MAX(O3:O15)</f>
        <v>2</v>
      </c>
      <c r="P17" s="51">
        <f t="shared" si="8"/>
        <v>8</v>
      </c>
      <c r="Q17" s="51">
        <f t="shared" si="8"/>
        <v>4</v>
      </c>
      <c r="R17" s="51">
        <f t="shared" si="8"/>
        <v>4.8</v>
      </c>
      <c r="S17" s="51">
        <f t="shared" si="8"/>
        <v>2</v>
      </c>
      <c r="T17" s="51">
        <f t="shared" si="8"/>
        <v>7</v>
      </c>
      <c r="U17" s="51">
        <f t="shared" si="8"/>
        <v>4</v>
      </c>
      <c r="V17" s="51">
        <f t="shared" si="8"/>
        <v>2</v>
      </c>
      <c r="W17" s="51">
        <f t="shared" si="8"/>
        <v>6</v>
      </c>
      <c r="X17" s="51">
        <f t="shared" si="8"/>
        <v>4</v>
      </c>
      <c r="Y17" s="51">
        <f t="shared" si="8"/>
        <v>3</v>
      </c>
      <c r="Z17" s="51">
        <f t="shared" si="8"/>
        <v>5</v>
      </c>
      <c r="AA17" s="51">
        <f t="shared" si="8"/>
        <v>97.499999999999986</v>
      </c>
    </row>
    <row r="18" spans="2:27" s="6" customFormat="1">
      <c r="B18" s="11" t="s">
        <v>168</v>
      </c>
      <c r="C18" s="11"/>
      <c r="D18" s="49"/>
      <c r="E18" s="13"/>
      <c r="F18" s="13"/>
      <c r="G18" s="13"/>
      <c r="H18" s="13"/>
      <c r="I18" s="13"/>
      <c r="J18" s="13"/>
      <c r="K18" s="13"/>
      <c r="L18" s="50"/>
      <c r="M18" s="50"/>
      <c r="N18" s="51">
        <f>MIN(N3:N15)</f>
        <v>5.8</v>
      </c>
      <c r="O18" s="51">
        <f t="shared" ref="O18:AA18" si="9">MIN(O3:O15)</f>
        <v>1.6</v>
      </c>
      <c r="P18" s="51">
        <f t="shared" si="9"/>
        <v>6.7</v>
      </c>
      <c r="Q18" s="51">
        <f t="shared" si="9"/>
        <v>2.6</v>
      </c>
      <c r="R18" s="51">
        <f t="shared" si="9"/>
        <v>1.2</v>
      </c>
      <c r="S18" s="51">
        <f t="shared" si="9"/>
        <v>0.6</v>
      </c>
      <c r="T18" s="51">
        <f t="shared" si="9"/>
        <v>1</v>
      </c>
      <c r="U18" s="51">
        <f t="shared" si="9"/>
        <v>2.6</v>
      </c>
      <c r="V18" s="51">
        <f t="shared" si="9"/>
        <v>1</v>
      </c>
      <c r="W18" s="51">
        <f t="shared" si="9"/>
        <v>4.2</v>
      </c>
      <c r="X18" s="51">
        <f t="shared" si="9"/>
        <v>0.5</v>
      </c>
      <c r="Y18" s="51">
        <f t="shared" si="9"/>
        <v>2.5</v>
      </c>
      <c r="Z18" s="51">
        <f t="shared" si="9"/>
        <v>5</v>
      </c>
      <c r="AA18" s="51">
        <f t="shared" si="9"/>
        <v>56.800000000000011</v>
      </c>
    </row>
    <row r="19" spans="2:27" s="6" customFormat="1">
      <c r="B19" s="11" t="s">
        <v>166</v>
      </c>
      <c r="C19" s="11"/>
      <c r="D19" s="49"/>
      <c r="E19" s="13"/>
      <c r="F19" s="13"/>
      <c r="G19" s="13"/>
      <c r="H19" s="13"/>
      <c r="I19" s="13"/>
      <c r="J19" s="13"/>
      <c r="K19" s="13"/>
      <c r="L19" s="50"/>
      <c r="M19" s="50"/>
      <c r="N19" s="51">
        <f t="shared" ref="N19:AA19" si="10">AVERAGE(N3:N15)</f>
        <v>7.1769230769230763</v>
      </c>
      <c r="O19" s="51">
        <f t="shared" si="10"/>
        <v>1.9230769230769234</v>
      </c>
      <c r="P19" s="51">
        <f t="shared" si="10"/>
        <v>7.5384615384615374</v>
      </c>
      <c r="Q19" s="51">
        <f t="shared" si="10"/>
        <v>3.6384615384615384</v>
      </c>
      <c r="R19" s="51">
        <f t="shared" si="10"/>
        <v>3.2</v>
      </c>
      <c r="S19" s="51">
        <f t="shared" si="10"/>
        <v>1.4307692307692306</v>
      </c>
      <c r="T19" s="51">
        <f t="shared" si="10"/>
        <v>4.384615384615385</v>
      </c>
      <c r="U19" s="51">
        <f t="shared" si="10"/>
        <v>3.4615384615384608</v>
      </c>
      <c r="V19" s="51">
        <f t="shared" si="10"/>
        <v>1.7999999999999998</v>
      </c>
      <c r="W19" s="51">
        <f t="shared" si="10"/>
        <v>5.4307692307692301</v>
      </c>
      <c r="X19" s="51">
        <f t="shared" si="10"/>
        <v>2.8461538461538463</v>
      </c>
      <c r="Y19" s="51">
        <f t="shared" si="10"/>
        <v>2.9615384615384617</v>
      </c>
      <c r="Z19" s="51">
        <f t="shared" si="10"/>
        <v>5</v>
      </c>
      <c r="AA19" s="51">
        <f t="shared" si="10"/>
        <v>88.523076923076943</v>
      </c>
    </row>
    <row r="20" spans="2:27" s="6" customFormat="1">
      <c r="B20" s="11" t="s">
        <v>179</v>
      </c>
      <c r="C20" s="11"/>
      <c r="D20" s="49"/>
      <c r="E20" s="13"/>
      <c r="F20" s="13"/>
      <c r="G20" s="13"/>
      <c r="H20" s="13"/>
      <c r="I20" s="13"/>
      <c r="J20" s="13"/>
      <c r="K20" s="13"/>
      <c r="L20" s="50"/>
      <c r="M20" s="50"/>
      <c r="N20" s="71">
        <f>N19/N2</f>
        <v>0.89711538461538454</v>
      </c>
      <c r="O20" s="71">
        <f t="shared" ref="O20:AA20" si="11">O19/O2</f>
        <v>0.96153846153846168</v>
      </c>
      <c r="P20" s="71">
        <f t="shared" si="11"/>
        <v>0.94230769230769218</v>
      </c>
      <c r="Q20" s="71">
        <f t="shared" si="11"/>
        <v>0.9096153846153846</v>
      </c>
      <c r="R20" s="71">
        <f t="shared" si="11"/>
        <v>0.64</v>
      </c>
      <c r="S20" s="71">
        <f t="shared" si="11"/>
        <v>0.71538461538461529</v>
      </c>
      <c r="T20" s="71">
        <f t="shared" si="11"/>
        <v>0.62637362637362648</v>
      </c>
      <c r="U20" s="71">
        <f t="shared" si="11"/>
        <v>0.8653846153846152</v>
      </c>
      <c r="V20" s="71">
        <f t="shared" si="11"/>
        <v>0.89999999999999991</v>
      </c>
      <c r="W20" s="71">
        <f t="shared" si="11"/>
        <v>0.90512820512820502</v>
      </c>
      <c r="X20" s="71">
        <f t="shared" si="11"/>
        <v>0.71153846153846156</v>
      </c>
      <c r="Y20" s="71">
        <f t="shared" si="11"/>
        <v>0.98717948717948723</v>
      </c>
      <c r="Z20" s="71">
        <f t="shared" si="11"/>
        <v>1</v>
      </c>
      <c r="AA20" s="71">
        <f t="shared" si="11"/>
        <v>0.88523076923076938</v>
      </c>
    </row>
    <row r="21" spans="2:27" s="6" customFormat="1">
      <c r="B21" s="11"/>
      <c r="C21" s="11"/>
      <c r="D21" s="49"/>
      <c r="E21" s="13"/>
      <c r="F21" s="13"/>
      <c r="G21" s="13"/>
      <c r="H21" s="13"/>
      <c r="I21" s="13"/>
      <c r="J21" s="13"/>
      <c r="K21" s="13"/>
      <c r="L21" s="50"/>
      <c r="M21" s="50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s="6" customFormat="1">
      <c r="B22" s="11" t="s">
        <v>121</v>
      </c>
      <c r="C22" s="11"/>
      <c r="D22" s="49"/>
      <c r="E22" s="13"/>
      <c r="F22" s="13"/>
      <c r="G22" s="13"/>
      <c r="H22" s="13"/>
      <c r="I22" s="13"/>
      <c r="J22" s="13"/>
      <c r="K22" s="13"/>
      <c r="L22" s="50"/>
      <c r="M22" s="50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s="6" customFormat="1">
      <c r="B23" s="11"/>
      <c r="C23" s="11"/>
      <c r="D23" s="49"/>
      <c r="E23" s="13"/>
      <c r="F23" s="13"/>
      <c r="G23" s="13"/>
      <c r="H23" s="13"/>
      <c r="I23" s="13"/>
      <c r="J23" s="13"/>
      <c r="K23" s="13"/>
      <c r="L23" s="50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</sheetData>
  <phoneticPr fontId="2"/>
  <pageMargins left="0.78700000000000003" right="0.78700000000000003" top="0.98399999999999999" bottom="0.98399999999999999" header="0.51200000000000001" footer="0.51200000000000001"/>
  <pageSetup paperSize="9" scale="6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zoomScale="115" zoomScaleNormal="115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AB18" sqref="AB18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4.75" style="11" hidden="1" customWidth="1"/>
    <col min="4" max="4" width="10.25" style="12" hidden="1" customWidth="1"/>
    <col min="5" max="5" width="6.625" style="13" customWidth="1"/>
    <col min="6" max="7" width="7.625" style="13" customWidth="1"/>
    <col min="8" max="9" width="11.25" style="13" customWidth="1"/>
    <col min="10" max="11" width="6.625" style="13" customWidth="1"/>
    <col min="12" max="13" width="6.625" style="15" customWidth="1"/>
    <col min="14" max="28" width="6.625" customWidth="1"/>
  </cols>
  <sheetData>
    <row r="1" spans="1:40" s="1" customFormat="1">
      <c r="A1" s="31" t="s">
        <v>84</v>
      </c>
      <c r="B1" s="32" t="s">
        <v>85</v>
      </c>
      <c r="C1" s="32" t="s">
        <v>96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120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4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1" t="s">
        <v>92</v>
      </c>
      <c r="AD1" s="1" t="s">
        <v>169</v>
      </c>
      <c r="AE1" s="1" t="s">
        <v>170</v>
      </c>
      <c r="AF1" s="1" t="s">
        <v>171</v>
      </c>
      <c r="AG1" s="1" t="s">
        <v>172</v>
      </c>
      <c r="AH1" s="1" t="s">
        <v>173</v>
      </c>
      <c r="AJ1" s="1" t="s">
        <v>174</v>
      </c>
      <c r="AK1" s="1" t="s">
        <v>175</v>
      </c>
      <c r="AL1" s="1" t="s">
        <v>176</v>
      </c>
      <c r="AM1" s="1" t="s">
        <v>177</v>
      </c>
      <c r="AN1" s="1" t="s">
        <v>178</v>
      </c>
    </row>
    <row r="2" spans="1:40" s="2" customFormat="1">
      <c r="A2" s="37"/>
      <c r="B2" s="38"/>
      <c r="C2" s="38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 t="shared" ref="AA2:AA18" si="0">SUM(L2:Z2)</f>
        <v>100</v>
      </c>
      <c r="AB2" s="44"/>
    </row>
    <row r="3" spans="1:40">
      <c r="A3" s="3" t="s">
        <v>90</v>
      </c>
      <c r="B3" s="9" t="s">
        <v>142</v>
      </c>
      <c r="C3" s="9"/>
      <c r="D3" s="10"/>
      <c r="E3" s="16">
        <v>0.29166666666666669</v>
      </c>
      <c r="F3" s="16">
        <v>0.31296296296296294</v>
      </c>
      <c r="G3" s="16">
        <v>0.5</v>
      </c>
      <c r="H3" s="4">
        <v>2.7777777777777776E-2</v>
      </c>
      <c r="I3" s="4">
        <v>0.25</v>
      </c>
      <c r="J3" s="4">
        <f t="shared" ref="J3:J18" si="1">F3-E3</f>
        <v>2.1296296296296258E-2</v>
      </c>
      <c r="K3" s="4">
        <f t="shared" ref="K3:K18" si="2">G3-E3</f>
        <v>0.20833333333333331</v>
      </c>
      <c r="L3" s="5">
        <f t="shared" ref="L3:L18" si="3">MAX(IF(J3-H3&gt;0,L$2-ROUND((J3-H3)*60*24*0.5,1),L$2),0)</f>
        <v>20</v>
      </c>
      <c r="M3" s="5">
        <f t="shared" ref="M3:M18" si="4">MAX(IF(K3-I3&gt;0,L$2-ROUND((K3-I3)*60*24*0.5,1),L$2),0)</f>
        <v>20</v>
      </c>
      <c r="N3" s="17">
        <v>8</v>
      </c>
      <c r="O3" s="17">
        <v>2</v>
      </c>
      <c r="P3" s="17">
        <v>8</v>
      </c>
      <c r="Q3" s="17">
        <v>4</v>
      </c>
      <c r="R3" s="17">
        <v>2.9</v>
      </c>
      <c r="S3" s="17">
        <v>1.2</v>
      </c>
      <c r="T3" s="17">
        <v>1</v>
      </c>
      <c r="U3" s="17">
        <v>3.6</v>
      </c>
      <c r="V3" s="17">
        <v>2</v>
      </c>
      <c r="W3" s="17">
        <v>4.5999999999999996</v>
      </c>
      <c r="X3" s="17">
        <v>2.5</v>
      </c>
      <c r="Y3" s="17">
        <v>3</v>
      </c>
      <c r="Z3" s="17">
        <v>4.8</v>
      </c>
      <c r="AA3" s="5">
        <f t="shared" si="0"/>
        <v>87.6</v>
      </c>
      <c r="AB3" s="45">
        <f>RANK(AA3,AA$3:AA$6)</f>
        <v>2</v>
      </c>
      <c r="AD3">
        <v>13.4</v>
      </c>
      <c r="AE3">
        <v>12.95</v>
      </c>
      <c r="AF3">
        <v>14.75</v>
      </c>
      <c r="AG3">
        <v>14.05</v>
      </c>
      <c r="AH3" s="7">
        <f>AVERAGE(AD3:AG3)</f>
        <v>13.787500000000001</v>
      </c>
      <c r="AJ3">
        <v>13</v>
      </c>
      <c r="AK3">
        <v>13.5</v>
      </c>
      <c r="AL3">
        <v>14.7</v>
      </c>
      <c r="AM3">
        <v>13.2</v>
      </c>
      <c r="AN3" s="7">
        <f>AVERAGE(AJ3:AM3)</f>
        <v>13.600000000000001</v>
      </c>
    </row>
    <row r="4" spans="1:40">
      <c r="A4" s="3" t="s">
        <v>90</v>
      </c>
      <c r="B4" s="9" t="s">
        <v>180</v>
      </c>
      <c r="C4" s="9"/>
      <c r="D4" s="10"/>
      <c r="E4" s="16">
        <v>0.29236111111111113</v>
      </c>
      <c r="F4" s="16">
        <v>0.31194444444444441</v>
      </c>
      <c r="G4" s="16">
        <v>0.49374999999999997</v>
      </c>
      <c r="H4" s="4">
        <v>2.7777777777777776E-2</v>
      </c>
      <c r="I4" s="4">
        <v>0.25</v>
      </c>
      <c r="J4" s="4">
        <f t="shared" si="1"/>
        <v>1.9583333333333286E-2</v>
      </c>
      <c r="K4" s="4">
        <f t="shared" si="2"/>
        <v>0.20138888888888884</v>
      </c>
      <c r="L4" s="5">
        <f t="shared" si="3"/>
        <v>20</v>
      </c>
      <c r="M4" s="5">
        <f t="shared" si="4"/>
        <v>20</v>
      </c>
      <c r="N4" s="17">
        <v>7.8</v>
      </c>
      <c r="O4" s="17">
        <v>2</v>
      </c>
      <c r="P4" s="17">
        <v>8</v>
      </c>
      <c r="Q4" s="17">
        <v>4</v>
      </c>
      <c r="R4" s="17">
        <v>4.7</v>
      </c>
      <c r="S4" s="17">
        <v>2</v>
      </c>
      <c r="T4" s="17">
        <v>7</v>
      </c>
      <c r="U4" s="17">
        <v>4</v>
      </c>
      <c r="V4" s="17">
        <v>2</v>
      </c>
      <c r="W4" s="17">
        <v>6</v>
      </c>
      <c r="X4" s="17">
        <v>4</v>
      </c>
      <c r="Y4" s="17">
        <v>3</v>
      </c>
      <c r="Z4" s="17">
        <v>4.8</v>
      </c>
      <c r="AA4" s="5">
        <f t="shared" si="0"/>
        <v>99.3</v>
      </c>
      <c r="AB4" s="45">
        <f>RANK(AA4,AA$3:AA$6)</f>
        <v>1</v>
      </c>
      <c r="AD4">
        <v>16.45</v>
      </c>
      <c r="AE4">
        <v>10.8</v>
      </c>
      <c r="AF4">
        <v>13.45</v>
      </c>
      <c r="AG4">
        <v>10.1</v>
      </c>
      <c r="AH4" s="7">
        <f>AVERAGE(AD4:AG4)</f>
        <v>12.700000000000001</v>
      </c>
      <c r="AJ4">
        <v>16</v>
      </c>
      <c r="AK4">
        <v>9.6999999999999993</v>
      </c>
      <c r="AL4">
        <v>10.5</v>
      </c>
      <c r="AM4">
        <v>13</v>
      </c>
      <c r="AN4" s="7">
        <f>AVERAGE(AJ4:AM4)</f>
        <v>12.3</v>
      </c>
    </row>
    <row r="5" spans="1:40">
      <c r="A5" s="3" t="s">
        <v>90</v>
      </c>
      <c r="B5" s="9" t="s">
        <v>165</v>
      </c>
      <c r="C5" s="9"/>
      <c r="D5" s="10"/>
      <c r="E5" s="16">
        <v>0.29305555555555601</v>
      </c>
      <c r="F5" s="16">
        <v>0.31693287037037038</v>
      </c>
      <c r="G5" s="16">
        <v>0.52500000000000002</v>
      </c>
      <c r="H5" s="4">
        <v>2.7777777777777776E-2</v>
      </c>
      <c r="I5" s="4">
        <v>0.25</v>
      </c>
      <c r="J5" s="4">
        <f t="shared" si="1"/>
        <v>2.3877314814814365E-2</v>
      </c>
      <c r="K5" s="4">
        <f t="shared" si="2"/>
        <v>0.23194444444444401</v>
      </c>
      <c r="L5" s="5">
        <f t="shared" si="3"/>
        <v>20</v>
      </c>
      <c r="M5" s="5">
        <f t="shared" si="4"/>
        <v>20</v>
      </c>
      <c r="N5" s="17">
        <v>5.4</v>
      </c>
      <c r="O5" s="17">
        <v>1.8</v>
      </c>
      <c r="P5" s="17">
        <v>7.6</v>
      </c>
      <c r="Q5" s="17">
        <v>4</v>
      </c>
      <c r="R5" s="17">
        <v>1.7</v>
      </c>
      <c r="S5" s="17">
        <v>1.4</v>
      </c>
      <c r="T5" s="17">
        <v>3</v>
      </c>
      <c r="U5" s="17">
        <v>3</v>
      </c>
      <c r="V5" s="17">
        <v>1.6</v>
      </c>
      <c r="W5" s="17">
        <v>5.5</v>
      </c>
      <c r="X5" s="17">
        <v>3</v>
      </c>
      <c r="Y5" s="17">
        <v>3</v>
      </c>
      <c r="Z5" s="17">
        <v>5</v>
      </c>
      <c r="AA5" s="5">
        <f t="shared" si="0"/>
        <v>86</v>
      </c>
      <c r="AB5" s="45">
        <f>RANK(AA5,AA$3:AA$6)</f>
        <v>3</v>
      </c>
      <c r="AD5">
        <v>11.9</v>
      </c>
      <c r="AE5">
        <v>14.95</v>
      </c>
      <c r="AF5">
        <v>11.85</v>
      </c>
      <c r="AG5">
        <v>13.5</v>
      </c>
      <c r="AH5" s="7">
        <f t="shared" ref="AH5:AH18" si="5">AVERAGE(AD5:AG5)</f>
        <v>13.05</v>
      </c>
      <c r="AJ5">
        <v>11.5</v>
      </c>
      <c r="AK5">
        <v>12.2</v>
      </c>
      <c r="AL5">
        <v>12.2</v>
      </c>
      <c r="AM5">
        <v>13</v>
      </c>
      <c r="AN5" s="7">
        <f t="shared" ref="AN5:AN18" si="6">AVERAGE(AJ5:AM5)</f>
        <v>12.225</v>
      </c>
    </row>
    <row r="6" spans="1:40" ht="14.25" thickBot="1">
      <c r="A6" s="63" t="s">
        <v>90</v>
      </c>
      <c r="B6" s="64" t="s">
        <v>181</v>
      </c>
      <c r="C6" s="64"/>
      <c r="D6" s="65"/>
      <c r="E6" s="66">
        <v>0.29375000000000001</v>
      </c>
      <c r="F6" s="66">
        <v>0.32222222222222224</v>
      </c>
      <c r="G6" s="66">
        <v>0.52847222222222223</v>
      </c>
      <c r="H6" s="67">
        <v>2.7777777777777776E-2</v>
      </c>
      <c r="I6" s="67">
        <v>0.25</v>
      </c>
      <c r="J6" s="67">
        <f t="shared" si="1"/>
        <v>2.8472222222222232E-2</v>
      </c>
      <c r="K6" s="67">
        <f t="shared" si="2"/>
        <v>0.23472222222222222</v>
      </c>
      <c r="L6" s="68">
        <f t="shared" si="3"/>
        <v>19.5</v>
      </c>
      <c r="M6" s="68">
        <f t="shared" si="4"/>
        <v>20</v>
      </c>
      <c r="N6" s="69">
        <v>7.2</v>
      </c>
      <c r="O6" s="69">
        <v>1.6</v>
      </c>
      <c r="P6" s="69">
        <v>6.9</v>
      </c>
      <c r="Q6" s="69">
        <v>3.7</v>
      </c>
      <c r="R6" s="69">
        <v>1.1000000000000001</v>
      </c>
      <c r="S6" s="69">
        <v>0.1</v>
      </c>
      <c r="T6" s="69">
        <v>1</v>
      </c>
      <c r="U6" s="69">
        <v>2.8</v>
      </c>
      <c r="V6" s="69">
        <v>1.2</v>
      </c>
      <c r="W6" s="69">
        <v>6</v>
      </c>
      <c r="X6" s="69">
        <v>2.5</v>
      </c>
      <c r="Y6" s="69">
        <v>3</v>
      </c>
      <c r="Z6" s="69">
        <v>4</v>
      </c>
      <c r="AA6" s="68">
        <f t="shared" si="0"/>
        <v>80.600000000000009</v>
      </c>
      <c r="AB6" s="70">
        <f>RANK(AA6,AA$3:AA$6)</f>
        <v>4</v>
      </c>
      <c r="AD6">
        <v>14.7</v>
      </c>
      <c r="AE6">
        <v>13.5</v>
      </c>
      <c r="AF6">
        <v>13.9</v>
      </c>
      <c r="AG6">
        <v>14.7</v>
      </c>
      <c r="AH6" s="7">
        <f t="shared" si="5"/>
        <v>14.2</v>
      </c>
      <c r="AJ6">
        <v>14.5</v>
      </c>
      <c r="AK6">
        <v>12.7</v>
      </c>
      <c r="AL6">
        <v>13.3</v>
      </c>
      <c r="AM6">
        <v>14.3</v>
      </c>
      <c r="AN6" s="7">
        <f t="shared" si="6"/>
        <v>13.7</v>
      </c>
    </row>
    <row r="7" spans="1:40">
      <c r="A7" s="8" t="s">
        <v>93</v>
      </c>
      <c r="B7" s="18" t="s">
        <v>182</v>
      </c>
      <c r="C7" s="18"/>
      <c r="D7" s="19"/>
      <c r="E7" s="20">
        <v>0.29444444444444401</v>
      </c>
      <c r="F7" s="20">
        <v>0.31545138888888885</v>
      </c>
      <c r="G7" s="20">
        <v>0.51944444444444449</v>
      </c>
      <c r="H7" s="21">
        <v>2.7777777777777776E-2</v>
      </c>
      <c r="I7" s="21">
        <v>0.25</v>
      </c>
      <c r="J7" s="21">
        <f t="shared" si="1"/>
        <v>2.1006944444444842E-2</v>
      </c>
      <c r="K7" s="21">
        <f t="shared" si="2"/>
        <v>0.22500000000000048</v>
      </c>
      <c r="L7" s="22">
        <f t="shared" si="3"/>
        <v>20</v>
      </c>
      <c r="M7" s="22">
        <f t="shared" si="4"/>
        <v>20</v>
      </c>
      <c r="N7" s="23">
        <v>8</v>
      </c>
      <c r="O7" s="23">
        <v>2</v>
      </c>
      <c r="P7" s="23">
        <v>8</v>
      </c>
      <c r="Q7" s="23">
        <v>4</v>
      </c>
      <c r="R7" s="23">
        <v>5</v>
      </c>
      <c r="S7" s="23">
        <v>2</v>
      </c>
      <c r="T7" s="23">
        <v>7</v>
      </c>
      <c r="U7" s="23">
        <v>3.2</v>
      </c>
      <c r="V7" s="23">
        <v>2</v>
      </c>
      <c r="W7" s="23">
        <v>5.9</v>
      </c>
      <c r="X7" s="23">
        <v>4</v>
      </c>
      <c r="Y7" s="23">
        <v>3</v>
      </c>
      <c r="Z7" s="23">
        <v>5</v>
      </c>
      <c r="AA7" s="22">
        <f t="shared" si="0"/>
        <v>99.100000000000009</v>
      </c>
      <c r="AB7" s="46">
        <f>RANK(AA7,AA$7:AA$15)</f>
        <v>1</v>
      </c>
      <c r="AD7">
        <v>11.45</v>
      </c>
      <c r="AE7">
        <v>13.2</v>
      </c>
      <c r="AF7">
        <v>13.75</v>
      </c>
      <c r="AG7">
        <v>9.5500000000000007</v>
      </c>
      <c r="AH7" s="7">
        <f t="shared" si="5"/>
        <v>11.987500000000001</v>
      </c>
      <c r="AJ7">
        <v>11</v>
      </c>
      <c r="AK7">
        <v>9.1</v>
      </c>
      <c r="AL7">
        <v>12</v>
      </c>
      <c r="AM7">
        <v>14</v>
      </c>
      <c r="AN7" s="7">
        <f t="shared" si="6"/>
        <v>11.525</v>
      </c>
    </row>
    <row r="8" spans="1:40">
      <c r="A8" s="3" t="s">
        <v>93</v>
      </c>
      <c r="B8" s="9" t="s">
        <v>183</v>
      </c>
      <c r="C8" s="9"/>
      <c r="D8" s="10"/>
      <c r="E8" s="16">
        <v>0.29513888888888901</v>
      </c>
      <c r="F8" s="16">
        <v>0.33021990740740742</v>
      </c>
      <c r="G8" s="16">
        <v>0.55052083333333335</v>
      </c>
      <c r="H8" s="4">
        <v>2.7777777777777776E-2</v>
      </c>
      <c r="I8" s="4">
        <v>0.25</v>
      </c>
      <c r="J8" s="4">
        <f t="shared" si="1"/>
        <v>3.5081018518518414E-2</v>
      </c>
      <c r="K8" s="4">
        <f t="shared" si="2"/>
        <v>0.25538194444444434</v>
      </c>
      <c r="L8" s="5">
        <f t="shared" si="3"/>
        <v>14.7</v>
      </c>
      <c r="M8" s="5">
        <f t="shared" si="4"/>
        <v>16.100000000000001</v>
      </c>
      <c r="N8" s="17">
        <v>4.2</v>
      </c>
      <c r="O8" s="17">
        <v>1.4</v>
      </c>
      <c r="P8" s="17">
        <v>7.8</v>
      </c>
      <c r="Q8" s="17">
        <v>2.6</v>
      </c>
      <c r="R8" s="17">
        <v>0.6</v>
      </c>
      <c r="S8" s="17">
        <v>1</v>
      </c>
      <c r="T8" s="17">
        <v>1</v>
      </c>
      <c r="U8" s="17">
        <v>2.6</v>
      </c>
      <c r="V8" s="17">
        <v>1.2</v>
      </c>
      <c r="W8" s="17">
        <v>2.7</v>
      </c>
      <c r="X8" s="17">
        <v>2.5</v>
      </c>
      <c r="Y8" s="17">
        <v>3</v>
      </c>
      <c r="Z8" s="17">
        <v>5</v>
      </c>
      <c r="AA8" s="5">
        <f t="shared" si="0"/>
        <v>66.400000000000006</v>
      </c>
      <c r="AB8" s="46">
        <f t="shared" ref="AB8:AB14" si="7">RANK(AA8,AA$7:AA$15)</f>
        <v>9</v>
      </c>
      <c r="AD8">
        <v>14.85</v>
      </c>
      <c r="AE8">
        <v>14.35</v>
      </c>
      <c r="AF8">
        <v>15.8</v>
      </c>
      <c r="AH8" s="7">
        <f t="shared" si="5"/>
        <v>15</v>
      </c>
      <c r="AJ8">
        <v>13.4</v>
      </c>
      <c r="AK8">
        <v>13.6</v>
      </c>
      <c r="AL8">
        <v>15.5</v>
      </c>
      <c r="AN8" s="7">
        <f t="shared" si="6"/>
        <v>14.166666666666666</v>
      </c>
    </row>
    <row r="9" spans="1:40">
      <c r="A9" s="3" t="s">
        <v>93</v>
      </c>
      <c r="B9" s="9" t="s">
        <v>184</v>
      </c>
      <c r="C9" s="9"/>
      <c r="D9" s="10"/>
      <c r="E9" s="16">
        <v>0.295833333333333</v>
      </c>
      <c r="F9" s="16">
        <v>0.31868055555555558</v>
      </c>
      <c r="G9" s="16">
        <v>0.50972222222222219</v>
      </c>
      <c r="H9" s="4">
        <v>2.7777777777777776E-2</v>
      </c>
      <c r="I9" s="4">
        <v>0.25</v>
      </c>
      <c r="J9" s="4">
        <f t="shared" si="1"/>
        <v>2.2847222222222574E-2</v>
      </c>
      <c r="K9" s="4">
        <f t="shared" si="2"/>
        <v>0.21388888888888918</v>
      </c>
      <c r="L9" s="5">
        <f t="shared" si="3"/>
        <v>20</v>
      </c>
      <c r="M9" s="5">
        <f t="shared" si="4"/>
        <v>20</v>
      </c>
      <c r="N9" s="17">
        <v>6.6</v>
      </c>
      <c r="O9" s="17">
        <v>1.6</v>
      </c>
      <c r="P9" s="17">
        <v>7.1</v>
      </c>
      <c r="Q9" s="17">
        <v>3.7</v>
      </c>
      <c r="R9" s="17">
        <v>2.5</v>
      </c>
      <c r="S9" s="17">
        <v>1.3</v>
      </c>
      <c r="T9" s="17">
        <v>3</v>
      </c>
      <c r="U9" s="17">
        <v>2.4</v>
      </c>
      <c r="V9" s="17">
        <v>1.8</v>
      </c>
      <c r="W9" s="17">
        <v>4.5999999999999996</v>
      </c>
      <c r="X9" s="17">
        <v>2.5</v>
      </c>
      <c r="Y9" s="17">
        <v>3</v>
      </c>
      <c r="Z9" s="17">
        <v>4.3</v>
      </c>
      <c r="AA9" s="5">
        <f t="shared" si="0"/>
        <v>84.4</v>
      </c>
      <c r="AB9" s="46">
        <f t="shared" si="7"/>
        <v>6</v>
      </c>
      <c r="AD9">
        <v>13.4</v>
      </c>
      <c r="AE9">
        <v>12.65</v>
      </c>
      <c r="AF9">
        <v>12.75</v>
      </c>
      <c r="AG9">
        <v>13.35</v>
      </c>
      <c r="AH9" s="7">
        <f t="shared" si="5"/>
        <v>13.0375</v>
      </c>
      <c r="AJ9">
        <v>12</v>
      </c>
      <c r="AK9">
        <v>13.6</v>
      </c>
      <c r="AL9">
        <v>13.1</v>
      </c>
      <c r="AM9">
        <v>12.4</v>
      </c>
      <c r="AN9" s="7">
        <f t="shared" si="6"/>
        <v>12.775</v>
      </c>
    </row>
    <row r="10" spans="1:40">
      <c r="A10" s="3" t="s">
        <v>93</v>
      </c>
      <c r="B10" s="9" t="s">
        <v>165</v>
      </c>
      <c r="C10" s="9"/>
      <c r="D10" s="10"/>
      <c r="E10" s="16">
        <v>0.296527777777778</v>
      </c>
      <c r="F10" s="16">
        <v>0.32476851851851851</v>
      </c>
      <c r="G10" s="16">
        <v>0.54166666666666663</v>
      </c>
      <c r="H10" s="4">
        <v>2.7777777777777776E-2</v>
      </c>
      <c r="I10" s="4">
        <v>0.25</v>
      </c>
      <c r="J10" s="4">
        <f t="shared" si="1"/>
        <v>2.8240740740740511E-2</v>
      </c>
      <c r="K10" s="4">
        <f t="shared" si="2"/>
        <v>0.24513888888888863</v>
      </c>
      <c r="L10" s="5">
        <f t="shared" si="3"/>
        <v>19.7</v>
      </c>
      <c r="M10" s="5">
        <f t="shared" si="4"/>
        <v>20</v>
      </c>
      <c r="N10" s="17">
        <v>6.3</v>
      </c>
      <c r="O10" s="17">
        <v>2</v>
      </c>
      <c r="P10" s="17">
        <v>7.6</v>
      </c>
      <c r="Q10" s="17">
        <v>3.5</v>
      </c>
      <c r="R10" s="17">
        <v>1.4</v>
      </c>
      <c r="S10" s="17">
        <v>1.3</v>
      </c>
      <c r="T10" s="17">
        <v>1</v>
      </c>
      <c r="U10" s="17">
        <v>2</v>
      </c>
      <c r="V10" s="17">
        <v>0.6</v>
      </c>
      <c r="W10" s="17">
        <v>5.4</v>
      </c>
      <c r="X10" s="17">
        <v>2.5</v>
      </c>
      <c r="Y10" s="17">
        <v>3</v>
      </c>
      <c r="Z10" s="17">
        <v>5</v>
      </c>
      <c r="AA10" s="5">
        <f t="shared" si="0"/>
        <v>81.3</v>
      </c>
      <c r="AB10" s="46">
        <f t="shared" si="7"/>
        <v>8</v>
      </c>
      <c r="AD10">
        <v>13.3</v>
      </c>
      <c r="AE10">
        <v>13.15</v>
      </c>
      <c r="AF10">
        <v>12.95</v>
      </c>
      <c r="AH10" s="7">
        <f t="shared" si="5"/>
        <v>13.133333333333335</v>
      </c>
      <c r="AJ10">
        <v>12.5</v>
      </c>
      <c r="AK10">
        <v>13.2</v>
      </c>
      <c r="AL10">
        <v>12.9</v>
      </c>
      <c r="AN10" s="7">
        <f t="shared" si="6"/>
        <v>12.866666666666667</v>
      </c>
    </row>
    <row r="11" spans="1:40">
      <c r="A11" s="3" t="s">
        <v>93</v>
      </c>
      <c r="B11" s="9" t="s">
        <v>146</v>
      </c>
      <c r="C11" s="9"/>
      <c r="D11" s="10"/>
      <c r="E11" s="16">
        <v>0.297222222222222</v>
      </c>
      <c r="F11" s="16">
        <v>0.32306712962962963</v>
      </c>
      <c r="G11" s="16">
        <v>0.54791666666666672</v>
      </c>
      <c r="H11" s="4">
        <v>2.7777777777777776E-2</v>
      </c>
      <c r="I11" s="4">
        <v>0.25</v>
      </c>
      <c r="J11" s="4">
        <f t="shared" si="1"/>
        <v>2.5844907407407636E-2</v>
      </c>
      <c r="K11" s="4">
        <f t="shared" si="2"/>
        <v>0.25069444444444472</v>
      </c>
      <c r="L11" s="5">
        <f t="shared" si="3"/>
        <v>20</v>
      </c>
      <c r="M11" s="5">
        <f t="shared" si="4"/>
        <v>19.5</v>
      </c>
      <c r="N11" s="17">
        <v>7.5</v>
      </c>
      <c r="O11" s="17">
        <v>1.4</v>
      </c>
      <c r="P11" s="17">
        <v>8</v>
      </c>
      <c r="Q11" s="17">
        <v>4</v>
      </c>
      <c r="R11" s="17">
        <v>2.1</v>
      </c>
      <c r="S11" s="17">
        <v>0.6</v>
      </c>
      <c r="T11" s="17">
        <v>2</v>
      </c>
      <c r="U11" s="17">
        <v>3</v>
      </c>
      <c r="V11" s="17">
        <v>1.2</v>
      </c>
      <c r="W11" s="17">
        <v>5.9</v>
      </c>
      <c r="X11" s="17">
        <v>3</v>
      </c>
      <c r="Y11" s="17">
        <v>2.8</v>
      </c>
      <c r="Z11" s="17">
        <v>3.8</v>
      </c>
      <c r="AA11" s="5">
        <f t="shared" si="0"/>
        <v>84.8</v>
      </c>
      <c r="AB11" s="46">
        <f>RANK(AA11,AA$7:AA$15)</f>
        <v>5</v>
      </c>
      <c r="AD11">
        <v>11.55</v>
      </c>
      <c r="AE11">
        <v>13.6</v>
      </c>
      <c r="AF11">
        <v>14</v>
      </c>
      <c r="AH11" s="7">
        <f>AVERAGE(AD11:AG11)</f>
        <v>13.049999999999999</v>
      </c>
      <c r="AJ11">
        <v>13.2</v>
      </c>
      <c r="AK11">
        <v>11.1</v>
      </c>
      <c r="AL11">
        <v>9.5</v>
      </c>
      <c r="AN11" s="7">
        <f>AVERAGE(AJ11:AM11)</f>
        <v>11.266666666666666</v>
      </c>
    </row>
    <row r="12" spans="1:40">
      <c r="A12" s="3" t="s">
        <v>93</v>
      </c>
      <c r="B12" s="9" t="s">
        <v>108</v>
      </c>
      <c r="C12" s="9"/>
      <c r="D12" s="10"/>
      <c r="E12" s="16">
        <v>0.297916666666667</v>
      </c>
      <c r="F12" s="16">
        <v>0.32200231481481484</v>
      </c>
      <c r="G12" s="16">
        <v>0.54375000000000007</v>
      </c>
      <c r="H12" s="4">
        <v>2.7777777777777776E-2</v>
      </c>
      <c r="I12" s="4">
        <v>0.25</v>
      </c>
      <c r="J12" s="4">
        <f t="shared" si="1"/>
        <v>2.4085648148147842E-2</v>
      </c>
      <c r="K12" s="4">
        <f t="shared" si="2"/>
        <v>0.24583333333333307</v>
      </c>
      <c r="L12" s="5">
        <f t="shared" si="3"/>
        <v>20</v>
      </c>
      <c r="M12" s="5">
        <f t="shared" si="4"/>
        <v>20</v>
      </c>
      <c r="N12" s="17">
        <v>5.6</v>
      </c>
      <c r="O12" s="17">
        <v>2</v>
      </c>
      <c r="P12" s="17">
        <v>8</v>
      </c>
      <c r="Q12" s="17">
        <v>3.1</v>
      </c>
      <c r="R12" s="17">
        <v>1.7</v>
      </c>
      <c r="S12" s="17">
        <v>0.7</v>
      </c>
      <c r="T12" s="17">
        <v>6</v>
      </c>
      <c r="U12" s="17">
        <v>2.8</v>
      </c>
      <c r="V12" s="17">
        <v>1.8</v>
      </c>
      <c r="W12" s="17">
        <v>5.4</v>
      </c>
      <c r="X12" s="17">
        <v>3</v>
      </c>
      <c r="Y12" s="17">
        <v>3</v>
      </c>
      <c r="Z12" s="17">
        <v>5</v>
      </c>
      <c r="AA12" s="5">
        <f t="shared" si="0"/>
        <v>88.100000000000009</v>
      </c>
      <c r="AB12" s="46">
        <f t="shared" si="7"/>
        <v>4</v>
      </c>
      <c r="AD12">
        <v>12.7</v>
      </c>
      <c r="AE12">
        <v>13.8</v>
      </c>
      <c r="AF12">
        <v>15.3</v>
      </c>
      <c r="AH12" s="7">
        <f t="shared" si="5"/>
        <v>13.933333333333332</v>
      </c>
      <c r="AJ12">
        <v>11.9</v>
      </c>
      <c r="AK12">
        <v>13.5</v>
      </c>
      <c r="AL12">
        <v>14.5</v>
      </c>
      <c r="AN12" s="7">
        <f t="shared" si="6"/>
        <v>13.299999999999999</v>
      </c>
    </row>
    <row r="13" spans="1:40">
      <c r="A13" s="3" t="s">
        <v>93</v>
      </c>
      <c r="B13" s="9" t="s">
        <v>185</v>
      </c>
      <c r="C13" s="9"/>
      <c r="D13" s="10"/>
      <c r="E13" s="16">
        <v>0.29861111111111099</v>
      </c>
      <c r="F13" s="16">
        <v>0.32565972222222223</v>
      </c>
      <c r="G13" s="16">
        <v>0.54971064814814818</v>
      </c>
      <c r="H13" s="4">
        <v>2.7777777777777776E-2</v>
      </c>
      <c r="I13" s="4">
        <v>0.25</v>
      </c>
      <c r="J13" s="4">
        <f t="shared" si="1"/>
        <v>2.7048611111111232E-2</v>
      </c>
      <c r="K13" s="4">
        <f t="shared" si="2"/>
        <v>0.25109953703703719</v>
      </c>
      <c r="L13" s="5">
        <f t="shared" si="3"/>
        <v>20</v>
      </c>
      <c r="M13" s="5">
        <f t="shared" si="4"/>
        <v>19.2</v>
      </c>
      <c r="N13" s="17">
        <v>4.7</v>
      </c>
      <c r="O13" s="17">
        <v>1.4</v>
      </c>
      <c r="P13" s="17">
        <v>8</v>
      </c>
      <c r="Q13" s="17">
        <v>4</v>
      </c>
      <c r="R13" s="17">
        <v>2.1</v>
      </c>
      <c r="S13" s="17">
        <v>0.7</v>
      </c>
      <c r="T13" s="17">
        <v>3</v>
      </c>
      <c r="U13" s="17">
        <v>3</v>
      </c>
      <c r="V13" s="17">
        <v>1.8</v>
      </c>
      <c r="W13" s="17">
        <v>4.9000000000000004</v>
      </c>
      <c r="X13" s="17">
        <v>3.5</v>
      </c>
      <c r="Y13" s="17">
        <v>3</v>
      </c>
      <c r="Z13" s="17">
        <v>5</v>
      </c>
      <c r="AA13" s="5">
        <f t="shared" si="0"/>
        <v>84.300000000000011</v>
      </c>
      <c r="AB13" s="46">
        <f t="shared" si="7"/>
        <v>7</v>
      </c>
      <c r="AD13">
        <v>10.8</v>
      </c>
      <c r="AE13">
        <v>13.15</v>
      </c>
      <c r="AF13">
        <v>12.95</v>
      </c>
      <c r="AH13" s="7">
        <f t="shared" si="5"/>
        <v>12.300000000000002</v>
      </c>
      <c r="AJ13">
        <v>10.5</v>
      </c>
      <c r="AK13">
        <v>13</v>
      </c>
      <c r="AL13">
        <v>11.9</v>
      </c>
      <c r="AM13">
        <v>12.2</v>
      </c>
      <c r="AN13" s="7">
        <f t="shared" si="6"/>
        <v>11.899999999999999</v>
      </c>
    </row>
    <row r="14" spans="1:40">
      <c r="A14" s="3" t="s">
        <v>93</v>
      </c>
      <c r="B14" s="9" t="s">
        <v>186</v>
      </c>
      <c r="C14" s="9"/>
      <c r="D14" s="10"/>
      <c r="E14" s="16">
        <v>0.29930555555555599</v>
      </c>
      <c r="F14" s="16">
        <v>0.32358796296296294</v>
      </c>
      <c r="G14" s="16">
        <v>0.54652777777777783</v>
      </c>
      <c r="H14" s="4">
        <v>2.7777777777777776E-2</v>
      </c>
      <c r="I14" s="4">
        <v>0.25</v>
      </c>
      <c r="J14" s="4">
        <f t="shared" si="1"/>
        <v>2.4282407407406947E-2</v>
      </c>
      <c r="K14" s="4">
        <f t="shared" si="2"/>
        <v>0.24722222222222184</v>
      </c>
      <c r="L14" s="5">
        <f t="shared" si="3"/>
        <v>20</v>
      </c>
      <c r="M14" s="5">
        <f t="shared" si="4"/>
        <v>20</v>
      </c>
      <c r="N14" s="17">
        <v>8</v>
      </c>
      <c r="O14" s="17">
        <v>2</v>
      </c>
      <c r="P14" s="17">
        <v>8</v>
      </c>
      <c r="Q14" s="17">
        <v>4</v>
      </c>
      <c r="R14" s="17">
        <v>3.9</v>
      </c>
      <c r="S14" s="17">
        <v>1.9</v>
      </c>
      <c r="T14" s="17">
        <v>7</v>
      </c>
      <c r="U14" s="17">
        <v>3.6</v>
      </c>
      <c r="V14" s="17">
        <v>1.6</v>
      </c>
      <c r="W14" s="17">
        <v>5.9</v>
      </c>
      <c r="X14" s="17">
        <v>3.5</v>
      </c>
      <c r="Y14" s="17">
        <v>3</v>
      </c>
      <c r="Z14" s="17">
        <v>5</v>
      </c>
      <c r="AA14" s="5">
        <f t="shared" si="0"/>
        <v>97.4</v>
      </c>
      <c r="AB14" s="46">
        <f t="shared" si="7"/>
        <v>2</v>
      </c>
      <c r="AD14">
        <v>11.4</v>
      </c>
      <c r="AE14">
        <v>10.35</v>
      </c>
      <c r="AF14">
        <v>7.7</v>
      </c>
      <c r="AG14">
        <v>21.85</v>
      </c>
      <c r="AH14" s="7">
        <f t="shared" si="5"/>
        <v>12.824999999999999</v>
      </c>
      <c r="AJ14">
        <v>21.1</v>
      </c>
      <c r="AK14">
        <v>7.5</v>
      </c>
      <c r="AL14">
        <v>9.6999999999999993</v>
      </c>
      <c r="AM14">
        <v>11</v>
      </c>
      <c r="AN14" s="7">
        <f t="shared" si="6"/>
        <v>12.324999999999999</v>
      </c>
    </row>
    <row r="15" spans="1:40" ht="14.25" thickBot="1">
      <c r="A15" s="47" t="s">
        <v>93</v>
      </c>
      <c r="B15" s="24" t="s">
        <v>187</v>
      </c>
      <c r="C15" s="24"/>
      <c r="D15" s="25"/>
      <c r="E15" s="26">
        <v>0.3</v>
      </c>
      <c r="F15" s="26">
        <v>0.32090277777777776</v>
      </c>
      <c r="G15" s="26">
        <v>0.54918981481481477</v>
      </c>
      <c r="H15" s="27">
        <v>2.7777777777777776E-2</v>
      </c>
      <c r="I15" s="27">
        <v>0.25</v>
      </c>
      <c r="J15" s="27">
        <f t="shared" si="1"/>
        <v>2.090277777777777E-2</v>
      </c>
      <c r="K15" s="27">
        <f t="shared" si="2"/>
        <v>0.24918981481481478</v>
      </c>
      <c r="L15" s="28">
        <f t="shared" si="3"/>
        <v>20</v>
      </c>
      <c r="M15" s="28">
        <f t="shared" si="4"/>
        <v>20</v>
      </c>
      <c r="N15" s="29">
        <v>8</v>
      </c>
      <c r="O15" s="29">
        <v>1.8</v>
      </c>
      <c r="P15" s="29">
        <v>8</v>
      </c>
      <c r="Q15" s="29">
        <v>4</v>
      </c>
      <c r="R15" s="29">
        <v>4.3</v>
      </c>
      <c r="S15" s="29">
        <v>1.5</v>
      </c>
      <c r="T15" s="29">
        <v>5</v>
      </c>
      <c r="U15" s="29">
        <v>3.8</v>
      </c>
      <c r="V15" s="29">
        <v>2</v>
      </c>
      <c r="W15" s="29">
        <v>6</v>
      </c>
      <c r="X15" s="29">
        <v>3.5</v>
      </c>
      <c r="Y15" s="29">
        <v>3</v>
      </c>
      <c r="Z15" s="29">
        <v>5</v>
      </c>
      <c r="AA15" s="28">
        <f t="shared" si="0"/>
        <v>95.899999999999991</v>
      </c>
      <c r="AB15" s="48">
        <f>RANK(AA15,AA$7:AA$15)</f>
        <v>3</v>
      </c>
      <c r="AD15">
        <v>13.15</v>
      </c>
      <c r="AE15">
        <v>13.35</v>
      </c>
      <c r="AF15">
        <v>13</v>
      </c>
      <c r="AG15">
        <v>13.15</v>
      </c>
      <c r="AH15" s="7">
        <f t="shared" si="5"/>
        <v>13.1625</v>
      </c>
      <c r="AJ15">
        <v>11.5</v>
      </c>
      <c r="AK15">
        <v>13</v>
      </c>
      <c r="AL15">
        <v>12.5</v>
      </c>
      <c r="AM15">
        <v>13</v>
      </c>
      <c r="AN15" s="7">
        <f t="shared" si="6"/>
        <v>12.5</v>
      </c>
    </row>
    <row r="16" spans="1:40" ht="14.25" thickTop="1">
      <c r="A16" s="8" t="s">
        <v>91</v>
      </c>
      <c r="B16" s="18" t="s">
        <v>47</v>
      </c>
      <c r="C16" s="18"/>
      <c r="D16" s="19"/>
      <c r="E16" s="20">
        <v>0.30069444444444399</v>
      </c>
      <c r="F16" s="20">
        <v>0.33473379629629635</v>
      </c>
      <c r="G16" s="20">
        <v>0.56805555555555554</v>
      </c>
      <c r="H16" s="21">
        <v>3.4722222222222224E-2</v>
      </c>
      <c r="I16" s="21">
        <v>0.27083333333333331</v>
      </c>
      <c r="J16" s="21">
        <f t="shared" si="1"/>
        <v>3.4039351851852362E-2</v>
      </c>
      <c r="K16" s="21">
        <f t="shared" si="2"/>
        <v>0.26736111111111155</v>
      </c>
      <c r="L16" s="22">
        <f t="shared" si="3"/>
        <v>20</v>
      </c>
      <c r="M16" s="22">
        <f t="shared" si="4"/>
        <v>20</v>
      </c>
      <c r="N16" s="23">
        <v>8</v>
      </c>
      <c r="O16" s="23">
        <v>1</v>
      </c>
      <c r="P16" s="23">
        <v>8</v>
      </c>
      <c r="Q16" s="23">
        <v>4</v>
      </c>
      <c r="R16" s="23">
        <v>3.3</v>
      </c>
      <c r="S16" s="23">
        <v>0.9</v>
      </c>
      <c r="T16" s="23">
        <v>3</v>
      </c>
      <c r="U16" s="23">
        <v>3.4</v>
      </c>
      <c r="V16" s="23">
        <v>1.4</v>
      </c>
      <c r="W16" s="23">
        <v>5.4</v>
      </c>
      <c r="X16" s="23">
        <v>4</v>
      </c>
      <c r="Y16" s="23">
        <v>3</v>
      </c>
      <c r="Z16" s="23">
        <v>4.8</v>
      </c>
      <c r="AA16" s="22">
        <f t="shared" si="0"/>
        <v>90.200000000000017</v>
      </c>
      <c r="AB16" s="46">
        <f>RANK(AA16,AA$16:AA$18)</f>
        <v>1</v>
      </c>
      <c r="AD16">
        <v>13.85</v>
      </c>
      <c r="AE16">
        <v>11.95</v>
      </c>
      <c r="AF16">
        <v>13.25</v>
      </c>
      <c r="AG16">
        <v>12.45</v>
      </c>
      <c r="AH16" s="7">
        <f>AVERAGE(AD16:AG16)</f>
        <v>12.875</v>
      </c>
      <c r="AJ16">
        <v>11.5</v>
      </c>
      <c r="AK16">
        <v>11.5</v>
      </c>
      <c r="AL16">
        <v>12.2</v>
      </c>
      <c r="AM16">
        <v>13</v>
      </c>
      <c r="AN16" s="7">
        <f>AVERAGE(AJ16:AM16)</f>
        <v>12.05</v>
      </c>
    </row>
    <row r="17" spans="1:40">
      <c r="A17" s="8" t="s">
        <v>91</v>
      </c>
      <c r="B17" s="18" t="s">
        <v>165</v>
      </c>
      <c r="C17" s="18"/>
      <c r="D17" s="19"/>
      <c r="E17" s="20">
        <v>0.30138888888888898</v>
      </c>
      <c r="F17" s="20">
        <v>0.33549768518518519</v>
      </c>
      <c r="G17" s="20">
        <v>0.55833333333333335</v>
      </c>
      <c r="H17" s="21">
        <v>3.4722222222222224E-2</v>
      </c>
      <c r="I17" s="21">
        <v>0.27083333333333331</v>
      </c>
      <c r="J17" s="21">
        <f t="shared" si="1"/>
        <v>3.4108796296296207E-2</v>
      </c>
      <c r="K17" s="21">
        <f t="shared" si="2"/>
        <v>0.25694444444444436</v>
      </c>
      <c r="L17" s="22">
        <f t="shared" si="3"/>
        <v>20</v>
      </c>
      <c r="M17" s="22">
        <f t="shared" si="4"/>
        <v>20</v>
      </c>
      <c r="N17" s="23">
        <v>6</v>
      </c>
      <c r="O17" s="23">
        <v>2</v>
      </c>
      <c r="P17" s="23">
        <v>7.8</v>
      </c>
      <c r="Q17" s="23">
        <v>4</v>
      </c>
      <c r="R17" s="23">
        <v>3.7</v>
      </c>
      <c r="S17" s="23">
        <v>0.8</v>
      </c>
      <c r="T17" s="23">
        <v>3</v>
      </c>
      <c r="U17" s="23">
        <v>3</v>
      </c>
      <c r="V17" s="23">
        <v>1.4</v>
      </c>
      <c r="W17" s="23">
        <v>5.5</v>
      </c>
      <c r="X17" s="23">
        <v>3</v>
      </c>
      <c r="Y17" s="23">
        <v>3</v>
      </c>
      <c r="Z17" s="23">
        <v>5</v>
      </c>
      <c r="AA17" s="22">
        <f t="shared" si="0"/>
        <v>88.2</v>
      </c>
      <c r="AB17" s="46">
        <f>RANK(AA17,AA$16:AA$18)</f>
        <v>2</v>
      </c>
      <c r="AD17">
        <v>13.75</v>
      </c>
      <c r="AE17">
        <v>13</v>
      </c>
      <c r="AF17">
        <v>12.95</v>
      </c>
      <c r="AG17">
        <v>12.2</v>
      </c>
      <c r="AH17" s="7">
        <f>AVERAGE(AD17:AG17)</f>
        <v>12.975000000000001</v>
      </c>
      <c r="AJ17">
        <v>13</v>
      </c>
      <c r="AK17">
        <v>11.7</v>
      </c>
      <c r="AL17">
        <v>12.9</v>
      </c>
      <c r="AM17">
        <v>11.5</v>
      </c>
      <c r="AN17" s="7">
        <f>AVERAGE(AJ17:AM17)</f>
        <v>12.275</v>
      </c>
    </row>
    <row r="18" spans="1:40">
      <c r="A18" s="8" t="s">
        <v>91</v>
      </c>
      <c r="B18" s="18" t="s">
        <v>146</v>
      </c>
      <c r="C18" s="18"/>
      <c r="D18" s="19"/>
      <c r="E18" s="20">
        <v>0.30208333333333298</v>
      </c>
      <c r="F18" s="20">
        <v>0.33671296296296299</v>
      </c>
      <c r="G18" s="20">
        <v>0.60347222222222219</v>
      </c>
      <c r="H18" s="21">
        <v>3.4722222222222224E-2</v>
      </c>
      <c r="I18" s="21">
        <v>0.27083333333333331</v>
      </c>
      <c r="J18" s="21">
        <f t="shared" si="1"/>
        <v>3.462962962963001E-2</v>
      </c>
      <c r="K18" s="21">
        <f t="shared" si="2"/>
        <v>0.30138888888888921</v>
      </c>
      <c r="L18" s="22">
        <f t="shared" si="3"/>
        <v>20</v>
      </c>
      <c r="M18" s="22">
        <f t="shared" si="4"/>
        <v>0</v>
      </c>
      <c r="N18" s="23">
        <v>7.4</v>
      </c>
      <c r="O18" s="23">
        <v>2</v>
      </c>
      <c r="P18" s="23">
        <v>8</v>
      </c>
      <c r="Q18" s="23">
        <v>3.5</v>
      </c>
      <c r="R18" s="23">
        <v>1.1000000000000001</v>
      </c>
      <c r="S18" s="23">
        <v>0.7</v>
      </c>
      <c r="T18" s="23">
        <v>0</v>
      </c>
      <c r="U18" s="23">
        <v>2.4</v>
      </c>
      <c r="V18" s="23">
        <v>1</v>
      </c>
      <c r="W18" s="23">
        <v>5.8</v>
      </c>
      <c r="X18" s="23">
        <v>2</v>
      </c>
      <c r="Y18" s="23">
        <v>3</v>
      </c>
      <c r="Z18" s="23">
        <v>3.3</v>
      </c>
      <c r="AA18" s="22">
        <f t="shared" si="0"/>
        <v>60.199999999999996</v>
      </c>
      <c r="AB18" s="46" t="s">
        <v>188</v>
      </c>
      <c r="AD18">
        <v>13.25</v>
      </c>
      <c r="AE18">
        <v>12.8</v>
      </c>
      <c r="AF18">
        <v>12.45</v>
      </c>
      <c r="AG18">
        <v>13.6</v>
      </c>
      <c r="AH18" s="7">
        <f t="shared" si="5"/>
        <v>13.025</v>
      </c>
      <c r="AJ18">
        <v>12.5</v>
      </c>
      <c r="AK18">
        <v>11.5</v>
      </c>
      <c r="AL18">
        <v>12</v>
      </c>
      <c r="AM18">
        <v>12</v>
      </c>
      <c r="AN18" s="7">
        <f t="shared" si="6"/>
        <v>12</v>
      </c>
    </row>
    <row r="19" spans="1:40" s="6" customFormat="1">
      <c r="B19" s="11"/>
      <c r="C19" s="11"/>
      <c r="D19" s="49"/>
      <c r="E19" s="13"/>
      <c r="F19" s="13"/>
      <c r="G19" s="13"/>
      <c r="H19" s="13"/>
      <c r="I19" s="13"/>
      <c r="J19" s="13"/>
      <c r="K19" s="13"/>
      <c r="L19" s="50"/>
      <c r="M19" s="50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1:40" s="6" customFormat="1">
      <c r="B20" s="11" t="s">
        <v>167</v>
      </c>
      <c r="C20" s="11"/>
      <c r="D20" s="49"/>
      <c r="E20" s="13"/>
      <c r="F20" s="13"/>
      <c r="G20" s="13"/>
      <c r="H20" s="13"/>
      <c r="I20" s="13"/>
      <c r="J20" s="13"/>
      <c r="K20" s="13"/>
      <c r="L20" s="50"/>
      <c r="M20" s="50"/>
      <c r="N20" s="51">
        <f t="shared" ref="N20:AA20" si="8">MAX(N3:N18)</f>
        <v>8</v>
      </c>
      <c r="O20" s="51">
        <f t="shared" si="8"/>
        <v>2</v>
      </c>
      <c r="P20" s="51">
        <f t="shared" si="8"/>
        <v>8</v>
      </c>
      <c r="Q20" s="51">
        <f t="shared" si="8"/>
        <v>4</v>
      </c>
      <c r="R20" s="51">
        <f t="shared" si="8"/>
        <v>5</v>
      </c>
      <c r="S20" s="51">
        <f t="shared" si="8"/>
        <v>2</v>
      </c>
      <c r="T20" s="51">
        <f t="shared" si="8"/>
        <v>7</v>
      </c>
      <c r="U20" s="51">
        <f t="shared" si="8"/>
        <v>4</v>
      </c>
      <c r="V20" s="51">
        <f t="shared" si="8"/>
        <v>2</v>
      </c>
      <c r="W20" s="51">
        <f t="shared" si="8"/>
        <v>6</v>
      </c>
      <c r="X20" s="51">
        <f t="shared" si="8"/>
        <v>4</v>
      </c>
      <c r="Y20" s="51">
        <f t="shared" si="8"/>
        <v>3</v>
      </c>
      <c r="Z20" s="51">
        <f t="shared" si="8"/>
        <v>5</v>
      </c>
      <c r="AA20" s="51">
        <f t="shared" si="8"/>
        <v>99.3</v>
      </c>
    </row>
    <row r="21" spans="1:40" s="6" customFormat="1">
      <c r="B21" s="11" t="s">
        <v>168</v>
      </c>
      <c r="C21" s="11"/>
      <c r="D21" s="49"/>
      <c r="E21" s="13"/>
      <c r="F21" s="13"/>
      <c r="G21" s="13"/>
      <c r="H21" s="13"/>
      <c r="I21" s="13"/>
      <c r="J21" s="13"/>
      <c r="K21" s="13"/>
      <c r="L21" s="50"/>
      <c r="M21" s="50"/>
      <c r="N21" s="51">
        <f t="shared" ref="N21:AA21" si="9">MIN(N3:N18)</f>
        <v>4.2</v>
      </c>
      <c r="O21" s="51">
        <f t="shared" si="9"/>
        <v>1</v>
      </c>
      <c r="P21" s="51">
        <f t="shared" si="9"/>
        <v>6.9</v>
      </c>
      <c r="Q21" s="51">
        <f t="shared" si="9"/>
        <v>2.6</v>
      </c>
      <c r="R21" s="51">
        <f t="shared" si="9"/>
        <v>0.6</v>
      </c>
      <c r="S21" s="51">
        <f t="shared" si="9"/>
        <v>0.1</v>
      </c>
      <c r="T21" s="51">
        <f t="shared" si="9"/>
        <v>0</v>
      </c>
      <c r="U21" s="51">
        <f t="shared" si="9"/>
        <v>2</v>
      </c>
      <c r="V21" s="51">
        <f t="shared" si="9"/>
        <v>0.6</v>
      </c>
      <c r="W21" s="51">
        <f t="shared" si="9"/>
        <v>2.7</v>
      </c>
      <c r="X21" s="51">
        <f t="shared" si="9"/>
        <v>2</v>
      </c>
      <c r="Y21" s="51">
        <f t="shared" si="9"/>
        <v>2.8</v>
      </c>
      <c r="Z21" s="51">
        <f t="shared" si="9"/>
        <v>3.3</v>
      </c>
      <c r="AA21" s="51">
        <f t="shared" si="9"/>
        <v>60.199999999999996</v>
      </c>
    </row>
    <row r="22" spans="1:40" s="6" customFormat="1">
      <c r="B22" s="11" t="s">
        <v>166</v>
      </c>
      <c r="C22" s="11"/>
      <c r="D22" s="49"/>
      <c r="E22" s="13"/>
      <c r="F22" s="13"/>
      <c r="G22" s="13"/>
      <c r="H22" s="13"/>
      <c r="I22" s="13"/>
      <c r="J22" s="13"/>
      <c r="K22" s="13"/>
      <c r="L22" s="50"/>
      <c r="M22" s="50"/>
      <c r="N22" s="51">
        <f t="shared" ref="N22:AA22" si="10">AVERAGE(N3:N18)</f>
        <v>6.7937500000000011</v>
      </c>
      <c r="O22" s="51">
        <f t="shared" si="10"/>
        <v>1.75</v>
      </c>
      <c r="P22" s="51">
        <f t="shared" si="10"/>
        <v>7.8</v>
      </c>
      <c r="Q22" s="51">
        <f t="shared" si="10"/>
        <v>3.7562500000000001</v>
      </c>
      <c r="R22" s="51">
        <f t="shared" si="10"/>
        <v>2.6312500000000001</v>
      </c>
      <c r="S22" s="51">
        <f t="shared" si="10"/>
        <v>1.1312499999999999</v>
      </c>
      <c r="T22" s="51">
        <f t="shared" si="10"/>
        <v>3.3125</v>
      </c>
      <c r="U22" s="51">
        <f t="shared" si="10"/>
        <v>3.0374999999999996</v>
      </c>
      <c r="V22" s="51">
        <f t="shared" si="10"/>
        <v>1.5374999999999999</v>
      </c>
      <c r="W22" s="51">
        <f t="shared" si="10"/>
        <v>5.3437499999999991</v>
      </c>
      <c r="X22" s="51">
        <f t="shared" si="10"/>
        <v>3.0625</v>
      </c>
      <c r="Y22" s="51">
        <f t="shared" si="10"/>
        <v>2.9874999999999998</v>
      </c>
      <c r="Z22" s="51">
        <f t="shared" si="10"/>
        <v>4.6749999999999998</v>
      </c>
      <c r="AA22" s="51">
        <f t="shared" si="10"/>
        <v>85.862500000000011</v>
      </c>
    </row>
    <row r="23" spans="1:40" s="6" customFormat="1">
      <c r="B23" s="11" t="s">
        <v>179</v>
      </c>
      <c r="C23" s="11"/>
      <c r="D23" s="49"/>
      <c r="E23" s="13"/>
      <c r="F23" s="13"/>
      <c r="G23" s="13"/>
      <c r="H23" s="13"/>
      <c r="I23" s="13"/>
      <c r="J23" s="13"/>
      <c r="K23" s="13"/>
      <c r="L23" s="50"/>
      <c r="M23" s="50"/>
      <c r="N23" s="71">
        <f t="shared" ref="N23:AA23" si="11">N22/N2</f>
        <v>0.84921875000000013</v>
      </c>
      <c r="O23" s="71">
        <f t="shared" si="11"/>
        <v>0.875</v>
      </c>
      <c r="P23" s="71">
        <f t="shared" si="11"/>
        <v>0.97499999999999998</v>
      </c>
      <c r="Q23" s="71">
        <f t="shared" si="11"/>
        <v>0.93906250000000002</v>
      </c>
      <c r="R23" s="71">
        <f t="shared" si="11"/>
        <v>0.52625</v>
      </c>
      <c r="S23" s="71">
        <f t="shared" si="11"/>
        <v>0.56562499999999993</v>
      </c>
      <c r="T23" s="71">
        <f t="shared" si="11"/>
        <v>0.4732142857142857</v>
      </c>
      <c r="U23" s="71">
        <f t="shared" si="11"/>
        <v>0.75937499999999991</v>
      </c>
      <c r="V23" s="71">
        <f t="shared" si="11"/>
        <v>0.76874999999999993</v>
      </c>
      <c r="W23" s="71">
        <f t="shared" si="11"/>
        <v>0.89062499999999989</v>
      </c>
      <c r="X23" s="71">
        <f t="shared" si="11"/>
        <v>0.765625</v>
      </c>
      <c r="Y23" s="71">
        <f t="shared" si="11"/>
        <v>0.99583333333333324</v>
      </c>
      <c r="Z23" s="71">
        <f t="shared" si="11"/>
        <v>0.93499999999999994</v>
      </c>
      <c r="AA23" s="71">
        <f t="shared" si="11"/>
        <v>0.85862500000000008</v>
      </c>
    </row>
    <row r="24" spans="1:40" s="6" customFormat="1">
      <c r="B24" s="11"/>
      <c r="C24" s="11"/>
      <c r="D24" s="49"/>
      <c r="E24" s="13"/>
      <c r="F24" s="13"/>
      <c r="G24" s="13"/>
      <c r="H24" s="13"/>
      <c r="I24" s="13"/>
      <c r="J24" s="13"/>
      <c r="K24" s="13"/>
      <c r="L24" s="50"/>
      <c r="M24" s="50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1:40" s="6" customFormat="1">
      <c r="B25" s="11" t="s">
        <v>121</v>
      </c>
      <c r="C25" s="11"/>
      <c r="D25" s="49"/>
      <c r="E25" s="13"/>
      <c r="F25" s="13"/>
      <c r="G25" s="13"/>
      <c r="H25" s="13"/>
      <c r="I25" s="13"/>
      <c r="J25" s="13"/>
      <c r="K25" s="13"/>
      <c r="L25" s="50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1:40" s="6" customFormat="1">
      <c r="B26" s="11"/>
      <c r="C26" s="11"/>
      <c r="D26" s="49"/>
      <c r="E26" s="13"/>
      <c r="F26" s="13"/>
      <c r="G26" s="13"/>
      <c r="H26" s="13"/>
      <c r="I26" s="13"/>
      <c r="J26" s="13"/>
      <c r="K26" s="13"/>
      <c r="L26" s="50"/>
      <c r="M26" s="50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</sheetData>
  <phoneticPr fontId="2"/>
  <conditionalFormatting sqref="AH3:AH18">
    <cfRule type="cellIs" dxfId="6" priority="2" stopIfTrue="1" operator="lessThan">
      <formula>11</formula>
    </cfRule>
  </conditionalFormatting>
  <conditionalFormatting sqref="AN3:AN18">
    <cfRule type="cellIs" dxfId="5" priority="1" stopIfTrue="1" operator="lessThan">
      <formula>11</formula>
    </cfRule>
  </conditionalFormatting>
  <pageMargins left="0.78700000000000003" right="0.78700000000000003" top="0.98399999999999999" bottom="0.98399999999999999" header="0.51200000000000001" footer="0.51200000000000001"/>
  <pageSetup paperSize="9" scale="68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8" sqref="E8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8.75" style="12" bestFit="1" customWidth="1"/>
    <col min="4" max="5" width="6.625" style="15" customWidth="1"/>
    <col min="6" max="20" width="6.625" customWidth="1"/>
  </cols>
  <sheetData>
    <row r="1" spans="1:32" s="1" customFormat="1">
      <c r="A1" s="31" t="s">
        <v>84</v>
      </c>
      <c r="B1" s="32" t="s">
        <v>85</v>
      </c>
      <c r="C1" s="32" t="s">
        <v>215</v>
      </c>
      <c r="D1" s="35" t="s">
        <v>194</v>
      </c>
      <c r="E1" s="35" t="s">
        <v>195</v>
      </c>
      <c r="F1" s="36" t="s">
        <v>119</v>
      </c>
      <c r="G1" s="36" t="s">
        <v>120</v>
      </c>
      <c r="H1" s="36" t="s">
        <v>0</v>
      </c>
      <c r="I1" s="36" t="s">
        <v>1</v>
      </c>
      <c r="J1" s="36" t="s">
        <v>196</v>
      </c>
      <c r="K1" s="36" t="s">
        <v>139</v>
      </c>
      <c r="L1" s="36" t="s">
        <v>3</v>
      </c>
      <c r="M1" s="36" t="s">
        <v>4</v>
      </c>
      <c r="N1" s="36" t="s">
        <v>6</v>
      </c>
      <c r="O1" s="36" t="s">
        <v>7</v>
      </c>
      <c r="P1" s="36" t="s">
        <v>8</v>
      </c>
      <c r="Q1" s="36" t="s">
        <v>5</v>
      </c>
      <c r="R1" s="36" t="s">
        <v>9</v>
      </c>
      <c r="S1" s="35" t="s">
        <v>10</v>
      </c>
      <c r="T1" s="35" t="s">
        <v>89</v>
      </c>
      <c r="U1" s="1" t="s">
        <v>92</v>
      </c>
      <c r="V1" s="1" t="s">
        <v>169</v>
      </c>
      <c r="W1" s="1" t="s">
        <v>170</v>
      </c>
      <c r="X1" s="1" t="s">
        <v>171</v>
      </c>
      <c r="Y1" s="1" t="s">
        <v>172</v>
      </c>
      <c r="Z1" s="1" t="s">
        <v>173</v>
      </c>
      <c r="AB1" s="1" t="s">
        <v>174</v>
      </c>
      <c r="AC1" s="1" t="s">
        <v>175</v>
      </c>
      <c r="AD1" s="1" t="s">
        <v>176</v>
      </c>
      <c r="AE1" s="1" t="s">
        <v>177</v>
      </c>
      <c r="AF1" s="1" t="s">
        <v>178</v>
      </c>
    </row>
    <row r="2" spans="1:32" s="2" customFormat="1">
      <c r="A2" s="37"/>
      <c r="B2" s="38"/>
      <c r="C2" s="39"/>
      <c r="D2" s="42">
        <v>30</v>
      </c>
      <c r="E2" s="42">
        <v>10</v>
      </c>
      <c r="F2" s="43">
        <v>8</v>
      </c>
      <c r="G2" s="43">
        <v>2</v>
      </c>
      <c r="H2" s="43">
        <v>10</v>
      </c>
      <c r="I2" s="43">
        <v>5</v>
      </c>
      <c r="J2" s="43">
        <v>5</v>
      </c>
      <c r="K2" s="43">
        <v>2</v>
      </c>
      <c r="L2" s="43">
        <v>4</v>
      </c>
      <c r="M2" s="43">
        <v>4</v>
      </c>
      <c r="N2" s="43">
        <v>6</v>
      </c>
      <c r="O2" s="43">
        <v>4</v>
      </c>
      <c r="P2" s="43">
        <v>3</v>
      </c>
      <c r="Q2" s="43">
        <v>2</v>
      </c>
      <c r="R2" s="43">
        <v>5</v>
      </c>
      <c r="S2" s="42">
        <f t="shared" ref="S2:S21" si="0">SUM(D2:R2)</f>
        <v>100</v>
      </c>
      <c r="T2" s="44"/>
    </row>
    <row r="3" spans="1:32">
      <c r="A3" s="3" t="s">
        <v>90</v>
      </c>
      <c r="B3" s="9" t="s">
        <v>180</v>
      </c>
      <c r="C3" s="10" t="s">
        <v>197</v>
      </c>
      <c r="D3" s="5">
        <v>30</v>
      </c>
      <c r="E3" s="5">
        <v>10</v>
      </c>
      <c r="F3" s="17">
        <v>8</v>
      </c>
      <c r="G3" s="17">
        <v>2</v>
      </c>
      <c r="H3" s="17">
        <v>10</v>
      </c>
      <c r="I3" s="17">
        <v>5</v>
      </c>
      <c r="J3" s="17">
        <v>4.7</v>
      </c>
      <c r="K3" s="17">
        <v>1.7</v>
      </c>
      <c r="L3" s="17">
        <v>2.4</v>
      </c>
      <c r="M3" s="17">
        <v>3.5</v>
      </c>
      <c r="N3" s="17">
        <v>5.8</v>
      </c>
      <c r="O3" s="17">
        <v>4</v>
      </c>
      <c r="P3" s="17">
        <v>3</v>
      </c>
      <c r="Q3" s="17">
        <v>2</v>
      </c>
      <c r="R3" s="17">
        <v>5</v>
      </c>
      <c r="S3" s="5">
        <f t="shared" si="0"/>
        <v>97.100000000000009</v>
      </c>
      <c r="T3" s="45">
        <f t="shared" ref="T3:T8" si="1">RANK(S3,S$3:S$8)</f>
        <v>1</v>
      </c>
      <c r="V3">
        <v>13.4</v>
      </c>
      <c r="W3">
        <v>12.95</v>
      </c>
      <c r="X3">
        <v>14.75</v>
      </c>
      <c r="Y3">
        <v>14.05</v>
      </c>
      <c r="Z3" s="7">
        <f>AVERAGE(V3:Y3)</f>
        <v>13.787500000000001</v>
      </c>
      <c r="AB3">
        <v>13</v>
      </c>
      <c r="AC3">
        <v>13.5</v>
      </c>
      <c r="AD3">
        <v>14.7</v>
      </c>
      <c r="AE3">
        <v>13.2</v>
      </c>
      <c r="AF3" s="7">
        <f>AVERAGE(AB3:AE3)</f>
        <v>13.600000000000001</v>
      </c>
    </row>
    <row r="4" spans="1:32">
      <c r="A4" s="3" t="s">
        <v>90</v>
      </c>
      <c r="B4" s="9" t="s">
        <v>181</v>
      </c>
      <c r="C4" s="10" t="s">
        <v>198</v>
      </c>
      <c r="D4" s="5">
        <v>29.9</v>
      </c>
      <c r="E4" s="5">
        <v>9.9</v>
      </c>
      <c r="F4" s="17">
        <v>6.5</v>
      </c>
      <c r="G4" s="17">
        <v>2</v>
      </c>
      <c r="H4" s="17">
        <v>8.5</v>
      </c>
      <c r="I4" s="17">
        <v>4.7</v>
      </c>
      <c r="J4" s="17">
        <v>0</v>
      </c>
      <c r="K4" s="17">
        <v>1.3</v>
      </c>
      <c r="L4" s="17">
        <v>0</v>
      </c>
      <c r="M4" s="17">
        <v>1</v>
      </c>
      <c r="N4" s="17">
        <v>5.0999999999999996</v>
      </c>
      <c r="O4" s="17">
        <v>1.5</v>
      </c>
      <c r="P4" s="17">
        <v>3</v>
      </c>
      <c r="Q4" s="17">
        <v>0.5</v>
      </c>
      <c r="R4" s="17">
        <v>4.8</v>
      </c>
      <c r="S4" s="5">
        <f t="shared" si="0"/>
        <v>78.699999999999989</v>
      </c>
      <c r="T4" s="45">
        <f t="shared" si="1"/>
        <v>6</v>
      </c>
      <c r="V4">
        <v>16.45</v>
      </c>
      <c r="W4">
        <v>10.8</v>
      </c>
      <c r="X4">
        <v>13.45</v>
      </c>
      <c r="Y4">
        <v>10.1</v>
      </c>
      <c r="Z4" s="7">
        <f>AVERAGE(V4:Y4)</f>
        <v>12.700000000000001</v>
      </c>
      <c r="AB4">
        <v>16</v>
      </c>
      <c r="AC4">
        <v>9.6999999999999993</v>
      </c>
      <c r="AD4">
        <v>10.5</v>
      </c>
      <c r="AE4">
        <v>13</v>
      </c>
      <c r="AF4" s="7">
        <f>AVERAGE(AB4:AE4)</f>
        <v>12.3</v>
      </c>
    </row>
    <row r="5" spans="1:32">
      <c r="A5" s="3" t="s">
        <v>90</v>
      </c>
      <c r="B5" s="9" t="s">
        <v>183</v>
      </c>
      <c r="C5" s="10" t="s">
        <v>199</v>
      </c>
      <c r="D5" s="5">
        <v>29.3</v>
      </c>
      <c r="E5" s="5">
        <v>9.6999999999999993</v>
      </c>
      <c r="F5" s="17">
        <v>5.5</v>
      </c>
      <c r="G5" s="17">
        <v>2</v>
      </c>
      <c r="H5" s="17">
        <v>9.8000000000000007</v>
      </c>
      <c r="I5" s="17">
        <v>4.8</v>
      </c>
      <c r="J5" s="17">
        <v>3.1</v>
      </c>
      <c r="K5" s="17">
        <v>1.3</v>
      </c>
      <c r="L5" s="17">
        <v>1.6</v>
      </c>
      <c r="M5" s="17">
        <v>1.1000000000000001</v>
      </c>
      <c r="N5" s="17">
        <v>3.1</v>
      </c>
      <c r="O5" s="17">
        <v>2.5</v>
      </c>
      <c r="P5" s="17">
        <v>3</v>
      </c>
      <c r="Q5" s="17">
        <v>1.8</v>
      </c>
      <c r="R5" s="17">
        <v>5</v>
      </c>
      <c r="S5" s="5">
        <f t="shared" si="0"/>
        <v>83.599999999999966</v>
      </c>
      <c r="T5" s="45">
        <f t="shared" si="1"/>
        <v>5</v>
      </c>
      <c r="V5">
        <v>11.9</v>
      </c>
      <c r="W5">
        <v>14.95</v>
      </c>
      <c r="X5">
        <v>11.85</v>
      </c>
      <c r="Y5">
        <v>13.5</v>
      </c>
      <c r="Z5" s="7">
        <f t="shared" ref="Z5:Z21" si="2">AVERAGE(V5:Y5)</f>
        <v>13.05</v>
      </c>
      <c r="AB5">
        <v>11.5</v>
      </c>
      <c r="AC5">
        <v>12.2</v>
      </c>
      <c r="AD5">
        <v>12.2</v>
      </c>
      <c r="AE5">
        <v>13</v>
      </c>
      <c r="AF5" s="7">
        <f t="shared" ref="AF5:AF21" si="3">AVERAGE(AB5:AE5)</f>
        <v>12.225</v>
      </c>
    </row>
    <row r="6" spans="1:32">
      <c r="A6" s="3" t="s">
        <v>90</v>
      </c>
      <c r="B6" s="9" t="s">
        <v>165</v>
      </c>
      <c r="C6" s="73" t="s">
        <v>200</v>
      </c>
      <c r="D6" s="5">
        <v>29.9</v>
      </c>
      <c r="E6" s="5">
        <v>10</v>
      </c>
      <c r="F6" s="74">
        <v>7</v>
      </c>
      <c r="G6" s="74">
        <v>2</v>
      </c>
      <c r="H6" s="74">
        <v>9.8000000000000007</v>
      </c>
      <c r="I6" s="74">
        <v>5</v>
      </c>
      <c r="J6" s="74">
        <v>3.5</v>
      </c>
      <c r="K6" s="74">
        <v>0.9</v>
      </c>
      <c r="L6" s="74">
        <v>1.2</v>
      </c>
      <c r="M6" s="74">
        <v>1.6</v>
      </c>
      <c r="N6" s="74">
        <v>5.5</v>
      </c>
      <c r="O6" s="74">
        <v>1.3</v>
      </c>
      <c r="P6" s="74">
        <v>3</v>
      </c>
      <c r="Q6" s="74">
        <v>1.5</v>
      </c>
      <c r="R6" s="74">
        <v>4.8</v>
      </c>
      <c r="S6" s="5">
        <f t="shared" si="0"/>
        <v>87</v>
      </c>
      <c r="T6" s="45">
        <f t="shared" si="1"/>
        <v>4</v>
      </c>
      <c r="Z6" s="7"/>
      <c r="AF6" s="7"/>
    </row>
    <row r="7" spans="1:32">
      <c r="A7" s="3" t="s">
        <v>90</v>
      </c>
      <c r="B7" s="9" t="s">
        <v>142</v>
      </c>
      <c r="C7" s="73" t="s">
        <v>201</v>
      </c>
      <c r="D7" s="5">
        <v>30</v>
      </c>
      <c r="E7" s="5">
        <v>9.9</v>
      </c>
      <c r="F7" s="74">
        <v>8</v>
      </c>
      <c r="G7" s="74">
        <v>2</v>
      </c>
      <c r="H7" s="74">
        <v>10</v>
      </c>
      <c r="I7" s="74">
        <v>4.8</v>
      </c>
      <c r="J7" s="74">
        <v>4</v>
      </c>
      <c r="K7" s="74">
        <v>1.2</v>
      </c>
      <c r="L7" s="74">
        <v>1.6</v>
      </c>
      <c r="M7" s="74">
        <v>2.8</v>
      </c>
      <c r="N7" s="74">
        <v>5.2</v>
      </c>
      <c r="O7" s="74">
        <v>1.8</v>
      </c>
      <c r="P7" s="74">
        <v>3</v>
      </c>
      <c r="Q7" s="74">
        <v>2</v>
      </c>
      <c r="R7" s="74">
        <v>5</v>
      </c>
      <c r="S7" s="5">
        <f t="shared" si="0"/>
        <v>91.3</v>
      </c>
      <c r="T7" s="45">
        <f t="shared" si="1"/>
        <v>2</v>
      </c>
      <c r="Z7" s="7"/>
      <c r="AF7" s="7"/>
    </row>
    <row r="8" spans="1:32" ht="14.25" thickBot="1">
      <c r="A8" s="63" t="s">
        <v>90</v>
      </c>
      <c r="B8" s="64" t="s">
        <v>146</v>
      </c>
      <c r="C8" s="65" t="s">
        <v>202</v>
      </c>
      <c r="D8" s="68">
        <v>29.8</v>
      </c>
      <c r="E8" s="68">
        <v>10</v>
      </c>
      <c r="F8" s="69">
        <v>8</v>
      </c>
      <c r="G8" s="69">
        <v>1.5</v>
      </c>
      <c r="H8" s="69">
        <v>10</v>
      </c>
      <c r="I8" s="69">
        <v>4.5</v>
      </c>
      <c r="J8" s="69">
        <v>3.4</v>
      </c>
      <c r="K8" s="69">
        <v>1.4</v>
      </c>
      <c r="L8" s="69">
        <v>0</v>
      </c>
      <c r="M8" s="69">
        <v>2</v>
      </c>
      <c r="N8" s="69">
        <v>5.8</v>
      </c>
      <c r="O8" s="69">
        <v>2.8</v>
      </c>
      <c r="P8" s="69">
        <v>3</v>
      </c>
      <c r="Q8" s="69">
        <v>1.6</v>
      </c>
      <c r="R8" s="69">
        <v>4.5</v>
      </c>
      <c r="S8" s="68">
        <f t="shared" si="0"/>
        <v>88.3</v>
      </c>
      <c r="T8" s="70">
        <f t="shared" si="1"/>
        <v>3</v>
      </c>
      <c r="V8">
        <v>14.7</v>
      </c>
      <c r="W8">
        <v>13.5</v>
      </c>
      <c r="X8">
        <v>13.9</v>
      </c>
      <c r="Y8">
        <v>14.7</v>
      </c>
      <c r="Z8" s="7">
        <f t="shared" si="2"/>
        <v>14.2</v>
      </c>
      <c r="AB8">
        <v>14.5</v>
      </c>
      <c r="AC8">
        <v>12.7</v>
      </c>
      <c r="AD8">
        <v>13.3</v>
      </c>
      <c r="AE8">
        <v>14.3</v>
      </c>
      <c r="AF8" s="7">
        <f t="shared" si="3"/>
        <v>13.7</v>
      </c>
    </row>
    <row r="9" spans="1:32">
      <c r="A9" s="8" t="s">
        <v>93</v>
      </c>
      <c r="B9" s="18" t="s">
        <v>182</v>
      </c>
      <c r="C9" s="19" t="s">
        <v>203</v>
      </c>
      <c r="D9" s="22">
        <v>30</v>
      </c>
      <c r="E9" s="22">
        <v>9.6999999999999993</v>
      </c>
      <c r="F9" s="23">
        <v>8</v>
      </c>
      <c r="G9" s="23">
        <v>2</v>
      </c>
      <c r="H9" s="23">
        <v>10</v>
      </c>
      <c r="I9" s="23">
        <v>4.9000000000000004</v>
      </c>
      <c r="J9" s="23">
        <v>4.4000000000000004</v>
      </c>
      <c r="K9" s="23">
        <v>2</v>
      </c>
      <c r="L9" s="23">
        <v>4</v>
      </c>
      <c r="M9" s="23">
        <v>3.1</v>
      </c>
      <c r="N9" s="23">
        <v>6</v>
      </c>
      <c r="O9" s="23">
        <v>3</v>
      </c>
      <c r="P9" s="23">
        <v>3</v>
      </c>
      <c r="Q9" s="23">
        <v>1.8</v>
      </c>
      <c r="R9" s="23">
        <v>5</v>
      </c>
      <c r="S9" s="22">
        <f t="shared" si="0"/>
        <v>96.9</v>
      </c>
      <c r="T9" s="46">
        <f t="shared" ref="T9:T15" si="4">RANK(S9,S$9:S$15)</f>
        <v>1</v>
      </c>
      <c r="V9">
        <v>11.45</v>
      </c>
      <c r="W9">
        <v>13.2</v>
      </c>
      <c r="X9">
        <v>13.75</v>
      </c>
      <c r="Y9">
        <v>9.5500000000000007</v>
      </c>
      <c r="Z9" s="7">
        <f t="shared" si="2"/>
        <v>11.987500000000001</v>
      </c>
      <c r="AB9">
        <v>11</v>
      </c>
      <c r="AC9">
        <v>9.1</v>
      </c>
      <c r="AD9">
        <v>12</v>
      </c>
      <c r="AE9">
        <v>14</v>
      </c>
      <c r="AF9" s="7">
        <f t="shared" si="3"/>
        <v>11.525</v>
      </c>
    </row>
    <row r="10" spans="1:32">
      <c r="A10" s="3" t="s">
        <v>93</v>
      </c>
      <c r="B10" s="9" t="s">
        <v>165</v>
      </c>
      <c r="C10" s="10" t="s">
        <v>204</v>
      </c>
      <c r="D10" s="5">
        <v>0</v>
      </c>
      <c r="E10" s="5">
        <v>0</v>
      </c>
      <c r="F10" s="17">
        <v>7.1</v>
      </c>
      <c r="G10" s="17">
        <v>0</v>
      </c>
      <c r="H10" s="17">
        <v>10</v>
      </c>
      <c r="I10" s="17">
        <v>4.4000000000000004</v>
      </c>
      <c r="J10" s="17">
        <v>2.9</v>
      </c>
      <c r="K10" s="17">
        <v>1</v>
      </c>
      <c r="L10" s="17">
        <v>0</v>
      </c>
      <c r="M10" s="17">
        <v>1.4</v>
      </c>
      <c r="N10" s="17">
        <v>5.6</v>
      </c>
      <c r="O10" s="17">
        <v>0</v>
      </c>
      <c r="P10" s="17">
        <v>0</v>
      </c>
      <c r="Q10" s="17">
        <v>1.6</v>
      </c>
      <c r="R10" s="17">
        <v>4</v>
      </c>
      <c r="S10" s="5">
        <f t="shared" si="0"/>
        <v>38</v>
      </c>
      <c r="T10" s="46">
        <f t="shared" si="4"/>
        <v>6</v>
      </c>
      <c r="V10">
        <v>14.85</v>
      </c>
      <c r="W10">
        <v>14.35</v>
      </c>
      <c r="X10">
        <v>15.8</v>
      </c>
      <c r="Z10" s="7">
        <f t="shared" si="2"/>
        <v>15</v>
      </c>
      <c r="AB10">
        <v>13.4</v>
      </c>
      <c r="AC10">
        <v>13.6</v>
      </c>
      <c r="AD10">
        <v>15.5</v>
      </c>
      <c r="AF10" s="7">
        <f t="shared" si="3"/>
        <v>14.166666666666666</v>
      </c>
    </row>
    <row r="11" spans="1:32">
      <c r="A11" s="3" t="s">
        <v>93</v>
      </c>
      <c r="B11" s="9" t="s">
        <v>190</v>
      </c>
      <c r="C11" s="10" t="s">
        <v>205</v>
      </c>
      <c r="D11" s="5">
        <v>29.8</v>
      </c>
      <c r="E11" s="5">
        <v>10</v>
      </c>
      <c r="F11" s="17">
        <v>8</v>
      </c>
      <c r="G11" s="17">
        <v>2</v>
      </c>
      <c r="H11" s="17">
        <v>10</v>
      </c>
      <c r="I11" s="17">
        <v>5</v>
      </c>
      <c r="J11" s="17">
        <v>4</v>
      </c>
      <c r="K11" s="17">
        <v>1.9</v>
      </c>
      <c r="L11" s="17">
        <v>1.6</v>
      </c>
      <c r="M11" s="17">
        <v>2.4</v>
      </c>
      <c r="N11" s="17">
        <v>5.9</v>
      </c>
      <c r="O11" s="17">
        <v>2.5</v>
      </c>
      <c r="P11" s="17">
        <v>3</v>
      </c>
      <c r="Q11" s="17">
        <v>1.8</v>
      </c>
      <c r="R11" s="17">
        <v>4.5</v>
      </c>
      <c r="S11" s="5">
        <f t="shared" si="0"/>
        <v>92.4</v>
      </c>
      <c r="T11" s="46">
        <f t="shared" si="4"/>
        <v>4</v>
      </c>
      <c r="V11">
        <v>13.4</v>
      </c>
      <c r="W11">
        <v>12.65</v>
      </c>
      <c r="X11">
        <v>12.75</v>
      </c>
      <c r="Y11">
        <v>13.35</v>
      </c>
      <c r="Z11" s="7">
        <f t="shared" si="2"/>
        <v>13.0375</v>
      </c>
      <c r="AB11">
        <v>12</v>
      </c>
      <c r="AC11">
        <v>13.6</v>
      </c>
      <c r="AD11">
        <v>13.1</v>
      </c>
      <c r="AE11">
        <v>12.4</v>
      </c>
      <c r="AF11" s="7">
        <f t="shared" si="3"/>
        <v>12.775</v>
      </c>
    </row>
    <row r="12" spans="1:32">
      <c r="A12" s="3" t="s">
        <v>93</v>
      </c>
      <c r="B12" s="9" t="s">
        <v>162</v>
      </c>
      <c r="C12" s="10" t="s">
        <v>206</v>
      </c>
      <c r="D12" s="5">
        <v>30</v>
      </c>
      <c r="E12" s="5">
        <v>10</v>
      </c>
      <c r="F12" s="17">
        <v>8</v>
      </c>
      <c r="G12" s="17">
        <v>2</v>
      </c>
      <c r="H12" s="17">
        <v>10</v>
      </c>
      <c r="I12" s="17">
        <v>5</v>
      </c>
      <c r="J12" s="17">
        <v>4.0999999999999996</v>
      </c>
      <c r="K12" s="17">
        <v>1.5</v>
      </c>
      <c r="L12" s="17">
        <v>3.2</v>
      </c>
      <c r="M12" s="17">
        <v>2.7</v>
      </c>
      <c r="N12" s="17">
        <v>6</v>
      </c>
      <c r="O12" s="17">
        <v>3.8</v>
      </c>
      <c r="P12" s="17">
        <v>3</v>
      </c>
      <c r="Q12" s="17">
        <v>2</v>
      </c>
      <c r="R12" s="17">
        <v>5</v>
      </c>
      <c r="S12" s="5">
        <f t="shared" si="0"/>
        <v>96.3</v>
      </c>
      <c r="T12" s="46">
        <f t="shared" si="4"/>
        <v>3</v>
      </c>
      <c r="V12">
        <v>13.3</v>
      </c>
      <c r="W12">
        <v>13.15</v>
      </c>
      <c r="X12">
        <v>12.95</v>
      </c>
      <c r="Z12" s="7">
        <f t="shared" si="2"/>
        <v>13.133333333333335</v>
      </c>
      <c r="AB12">
        <v>12.5</v>
      </c>
      <c r="AC12">
        <v>13.2</v>
      </c>
      <c r="AD12">
        <v>12.9</v>
      </c>
      <c r="AF12" s="7">
        <f t="shared" si="3"/>
        <v>12.866666666666667</v>
      </c>
    </row>
    <row r="13" spans="1:32">
      <c r="A13" s="3" t="s">
        <v>93</v>
      </c>
      <c r="B13" s="9" t="s">
        <v>181</v>
      </c>
      <c r="C13" s="10" t="s">
        <v>207</v>
      </c>
      <c r="D13" s="5">
        <v>0</v>
      </c>
      <c r="E13" s="5">
        <v>0</v>
      </c>
      <c r="F13" s="17">
        <v>4.5999999999999996</v>
      </c>
      <c r="G13" s="17">
        <v>0</v>
      </c>
      <c r="H13" s="17">
        <v>8.1</v>
      </c>
      <c r="I13" s="17">
        <v>2.1</v>
      </c>
      <c r="J13" s="17">
        <v>2</v>
      </c>
      <c r="K13" s="17">
        <v>0.4</v>
      </c>
      <c r="L13" s="17">
        <v>0</v>
      </c>
      <c r="M13" s="17">
        <v>0.9</v>
      </c>
      <c r="N13" s="17">
        <v>5.3</v>
      </c>
      <c r="O13" s="17">
        <v>0</v>
      </c>
      <c r="P13" s="17">
        <v>3</v>
      </c>
      <c r="Q13" s="17">
        <v>0.8</v>
      </c>
      <c r="R13" s="17">
        <v>3</v>
      </c>
      <c r="S13" s="5">
        <f t="shared" si="0"/>
        <v>30.199999999999996</v>
      </c>
      <c r="T13" s="46">
        <f t="shared" si="4"/>
        <v>7</v>
      </c>
      <c r="V13">
        <v>11.55</v>
      </c>
      <c r="W13">
        <v>13.6</v>
      </c>
      <c r="X13">
        <v>14</v>
      </c>
      <c r="Z13" s="7">
        <f>AVERAGE(V13:Y13)</f>
        <v>13.049999999999999</v>
      </c>
      <c r="AB13">
        <v>13.2</v>
      </c>
      <c r="AC13">
        <v>11.1</v>
      </c>
      <c r="AD13">
        <v>9.5</v>
      </c>
      <c r="AF13" s="7">
        <f>AVERAGE(AB13:AE13)</f>
        <v>11.266666666666666</v>
      </c>
    </row>
    <row r="14" spans="1:32">
      <c r="A14" s="3" t="s">
        <v>93</v>
      </c>
      <c r="B14" s="9" t="s">
        <v>191</v>
      </c>
      <c r="C14" s="10" t="s">
        <v>208</v>
      </c>
      <c r="D14" s="5">
        <v>30</v>
      </c>
      <c r="E14" s="5">
        <v>10</v>
      </c>
      <c r="F14" s="17">
        <v>7.6</v>
      </c>
      <c r="G14" s="17">
        <v>2</v>
      </c>
      <c r="H14" s="17">
        <v>10</v>
      </c>
      <c r="I14" s="17">
        <v>4.7</v>
      </c>
      <c r="J14" s="17">
        <v>4.9000000000000004</v>
      </c>
      <c r="K14" s="17">
        <v>1.7</v>
      </c>
      <c r="L14" s="17">
        <v>4</v>
      </c>
      <c r="M14" s="17">
        <v>3.2</v>
      </c>
      <c r="N14" s="17">
        <v>5.7</v>
      </c>
      <c r="O14" s="17">
        <v>3</v>
      </c>
      <c r="P14" s="17">
        <v>3</v>
      </c>
      <c r="Q14" s="17">
        <v>2</v>
      </c>
      <c r="R14" s="17">
        <v>5</v>
      </c>
      <c r="S14" s="5">
        <f t="shared" si="0"/>
        <v>96.800000000000011</v>
      </c>
      <c r="T14" s="46">
        <f t="shared" si="4"/>
        <v>2</v>
      </c>
      <c r="V14">
        <v>12.7</v>
      </c>
      <c r="W14">
        <v>13.8</v>
      </c>
      <c r="X14">
        <v>15.3</v>
      </c>
      <c r="Z14" s="7">
        <f t="shared" si="2"/>
        <v>13.933333333333332</v>
      </c>
      <c r="AB14">
        <v>11.9</v>
      </c>
      <c r="AC14">
        <v>13.5</v>
      </c>
      <c r="AD14">
        <v>14.5</v>
      </c>
      <c r="AF14" s="7">
        <f t="shared" si="3"/>
        <v>13.299999999999999</v>
      </c>
    </row>
    <row r="15" spans="1:32" ht="14.25" thickBot="1">
      <c r="A15" s="47" t="s">
        <v>93</v>
      </c>
      <c r="B15" s="47" t="s">
        <v>183</v>
      </c>
      <c r="C15" s="25" t="s">
        <v>209</v>
      </c>
      <c r="D15" s="28">
        <v>3</v>
      </c>
      <c r="E15" s="28">
        <f>9.8-2.5</f>
        <v>7.3000000000000007</v>
      </c>
      <c r="F15" s="29">
        <v>4.9000000000000004</v>
      </c>
      <c r="G15" s="29">
        <v>2</v>
      </c>
      <c r="H15" s="29">
        <v>9.8000000000000007</v>
      </c>
      <c r="I15" s="29">
        <v>2.7</v>
      </c>
      <c r="J15" s="29">
        <v>0.9</v>
      </c>
      <c r="K15" s="29">
        <v>0.8</v>
      </c>
      <c r="L15" s="29">
        <v>0.8</v>
      </c>
      <c r="M15" s="29">
        <v>2.1</v>
      </c>
      <c r="N15" s="29">
        <v>3.1</v>
      </c>
      <c r="O15" s="29">
        <v>0</v>
      </c>
      <c r="P15" s="29">
        <v>3</v>
      </c>
      <c r="Q15" s="29">
        <v>1.3</v>
      </c>
      <c r="R15" s="29">
        <v>3.8</v>
      </c>
      <c r="S15" s="28">
        <f t="shared" si="0"/>
        <v>45.5</v>
      </c>
      <c r="T15" s="48">
        <f t="shared" si="4"/>
        <v>5</v>
      </c>
      <c r="V15">
        <v>13.15</v>
      </c>
      <c r="W15">
        <v>13.35</v>
      </c>
      <c r="X15">
        <v>13</v>
      </c>
      <c r="Y15">
        <v>13.15</v>
      </c>
      <c r="Z15" s="7">
        <f t="shared" si="2"/>
        <v>13.1625</v>
      </c>
      <c r="AB15">
        <v>11.5</v>
      </c>
      <c r="AC15">
        <v>13</v>
      </c>
      <c r="AD15">
        <v>12.5</v>
      </c>
      <c r="AE15">
        <v>13</v>
      </c>
      <c r="AF15" s="7">
        <f t="shared" si="3"/>
        <v>12.5</v>
      </c>
    </row>
    <row r="16" spans="1:32" ht="14.25" thickTop="1">
      <c r="A16" s="8" t="s">
        <v>91</v>
      </c>
      <c r="B16" s="18" t="s">
        <v>47</v>
      </c>
      <c r="C16" s="19" t="s">
        <v>211</v>
      </c>
      <c r="D16" s="22">
        <v>30</v>
      </c>
      <c r="E16" s="22">
        <v>9.9</v>
      </c>
      <c r="F16" s="23">
        <v>7</v>
      </c>
      <c r="G16" s="23">
        <v>2</v>
      </c>
      <c r="H16" s="23">
        <v>9.5</v>
      </c>
      <c r="I16" s="23">
        <v>5</v>
      </c>
      <c r="J16" s="23">
        <v>3.9</v>
      </c>
      <c r="K16" s="23">
        <v>1.6</v>
      </c>
      <c r="L16" s="23">
        <v>2.4</v>
      </c>
      <c r="M16" s="23">
        <v>2.7</v>
      </c>
      <c r="N16" s="23">
        <v>3.9</v>
      </c>
      <c r="O16" s="23">
        <v>3.3</v>
      </c>
      <c r="P16" s="23">
        <v>3</v>
      </c>
      <c r="Q16" s="23">
        <v>1.4</v>
      </c>
      <c r="R16" s="23">
        <v>5</v>
      </c>
      <c r="S16" s="22">
        <f t="shared" si="0"/>
        <v>90.600000000000009</v>
      </c>
      <c r="T16" s="46">
        <f>RANK(S16,S$16:S$18)</f>
        <v>1</v>
      </c>
      <c r="V16">
        <v>13.85</v>
      </c>
      <c r="W16">
        <v>11.95</v>
      </c>
      <c r="X16">
        <v>13.25</v>
      </c>
      <c r="Y16">
        <v>12.45</v>
      </c>
      <c r="Z16" s="7">
        <f>AVERAGE(V16:Y16)</f>
        <v>12.875</v>
      </c>
      <c r="AB16">
        <v>11.5</v>
      </c>
      <c r="AC16">
        <v>11.5</v>
      </c>
      <c r="AD16">
        <v>12.2</v>
      </c>
      <c r="AE16">
        <v>13</v>
      </c>
      <c r="AF16" s="7">
        <f>AVERAGE(AB16:AE16)</f>
        <v>12.05</v>
      </c>
    </row>
    <row r="17" spans="1:32">
      <c r="A17" s="8" t="s">
        <v>91</v>
      </c>
      <c r="B17" s="18" t="s">
        <v>146</v>
      </c>
      <c r="C17" s="19" t="s">
        <v>217</v>
      </c>
      <c r="D17" s="22">
        <v>3</v>
      </c>
      <c r="E17" s="22">
        <v>7.4</v>
      </c>
      <c r="F17" s="23">
        <v>7.8</v>
      </c>
      <c r="G17" s="23">
        <v>2</v>
      </c>
      <c r="H17" s="23">
        <v>9.9</v>
      </c>
      <c r="I17" s="23">
        <v>4.8</v>
      </c>
      <c r="J17" s="23">
        <v>1</v>
      </c>
      <c r="K17" s="23">
        <v>1.3</v>
      </c>
      <c r="L17" s="23">
        <v>0</v>
      </c>
      <c r="M17" s="23">
        <v>2.2000000000000002</v>
      </c>
      <c r="N17" s="23">
        <v>6</v>
      </c>
      <c r="O17" s="23">
        <v>3</v>
      </c>
      <c r="P17" s="23">
        <v>3</v>
      </c>
      <c r="Q17" s="23">
        <v>1.5</v>
      </c>
      <c r="R17" s="23">
        <v>5</v>
      </c>
      <c r="S17" s="22">
        <f t="shared" si="0"/>
        <v>57.9</v>
      </c>
      <c r="T17" s="46">
        <f>RANK(S17,S$16:S$18)</f>
        <v>2</v>
      </c>
      <c r="V17">
        <v>13.75</v>
      </c>
      <c r="W17">
        <v>13</v>
      </c>
      <c r="X17">
        <v>12.95</v>
      </c>
      <c r="Y17">
        <v>12.2</v>
      </c>
      <c r="Z17" s="7">
        <f>AVERAGE(V17:Y17)</f>
        <v>12.975000000000001</v>
      </c>
      <c r="AB17">
        <v>13</v>
      </c>
      <c r="AC17">
        <v>11.7</v>
      </c>
      <c r="AD17">
        <v>12.9</v>
      </c>
      <c r="AE17">
        <v>11.5</v>
      </c>
      <c r="AF17" s="7">
        <f>AVERAGE(AB17:AE17)</f>
        <v>12.275</v>
      </c>
    </row>
    <row r="18" spans="1:32" ht="14.25" thickBot="1">
      <c r="A18" s="63" t="s">
        <v>91</v>
      </c>
      <c r="B18" s="64" t="s">
        <v>140</v>
      </c>
      <c r="C18" s="65" t="s">
        <v>212</v>
      </c>
      <c r="D18" s="68">
        <v>0</v>
      </c>
      <c r="E18" s="68">
        <v>0</v>
      </c>
      <c r="F18" s="69">
        <v>4.4000000000000004</v>
      </c>
      <c r="G18" s="69">
        <v>0</v>
      </c>
      <c r="H18" s="69">
        <v>9.6</v>
      </c>
      <c r="I18" s="69">
        <v>4.5</v>
      </c>
      <c r="J18" s="69">
        <v>1.1000000000000001</v>
      </c>
      <c r="K18" s="69">
        <v>0.9</v>
      </c>
      <c r="L18" s="69">
        <v>0</v>
      </c>
      <c r="M18" s="69">
        <v>2</v>
      </c>
      <c r="N18" s="69">
        <v>5</v>
      </c>
      <c r="O18" s="69">
        <v>0</v>
      </c>
      <c r="P18" s="69">
        <v>3</v>
      </c>
      <c r="Q18" s="69">
        <v>1.8</v>
      </c>
      <c r="R18" s="69">
        <v>4</v>
      </c>
      <c r="S18" s="68">
        <f t="shared" si="0"/>
        <v>36.299999999999997</v>
      </c>
      <c r="T18" s="70">
        <f>RANK(S18,S$16:S$18)</f>
        <v>3</v>
      </c>
      <c r="V18">
        <v>13.75</v>
      </c>
      <c r="W18">
        <v>13</v>
      </c>
      <c r="X18">
        <v>12.95</v>
      </c>
      <c r="Y18">
        <v>12.2</v>
      </c>
      <c r="Z18" s="7">
        <f>AVERAGE(V18:Y18)</f>
        <v>12.975000000000001</v>
      </c>
      <c r="AB18">
        <v>13</v>
      </c>
      <c r="AC18">
        <v>11.7</v>
      </c>
      <c r="AD18">
        <v>12.9</v>
      </c>
      <c r="AE18">
        <v>11.5</v>
      </c>
      <c r="AF18" s="7">
        <f>AVERAGE(AB18:AE18)</f>
        <v>12.275</v>
      </c>
    </row>
    <row r="19" spans="1:32">
      <c r="A19" s="8" t="s">
        <v>216</v>
      </c>
      <c r="B19" s="18" t="s">
        <v>192</v>
      </c>
      <c r="C19" s="19" t="s">
        <v>213</v>
      </c>
      <c r="D19" s="22">
        <v>29.9</v>
      </c>
      <c r="E19" s="22">
        <v>9.5</v>
      </c>
      <c r="F19" s="23">
        <v>6.4</v>
      </c>
      <c r="G19" s="23">
        <v>2</v>
      </c>
      <c r="H19" s="23">
        <v>9.8000000000000007</v>
      </c>
      <c r="I19" s="23">
        <v>3.7</v>
      </c>
      <c r="J19" s="23">
        <v>4</v>
      </c>
      <c r="K19" s="23">
        <v>1.3</v>
      </c>
      <c r="L19" s="23">
        <v>0.8</v>
      </c>
      <c r="M19" s="23">
        <v>2.6</v>
      </c>
      <c r="N19" s="23">
        <v>4</v>
      </c>
      <c r="O19" s="23">
        <v>2.5</v>
      </c>
      <c r="P19" s="23">
        <v>2.8</v>
      </c>
      <c r="Q19" s="23">
        <v>2</v>
      </c>
      <c r="R19" s="23">
        <v>5</v>
      </c>
      <c r="S19" s="22">
        <f t="shared" si="0"/>
        <v>86.299999999999983</v>
      </c>
      <c r="T19" s="46">
        <f>RANK(S19,S$19:S$21)</f>
        <v>1</v>
      </c>
      <c r="V19">
        <v>13.75</v>
      </c>
      <c r="W19">
        <v>13</v>
      </c>
      <c r="X19">
        <v>12.95</v>
      </c>
      <c r="Y19">
        <v>12.2</v>
      </c>
      <c r="Z19" s="7">
        <f>AVERAGE(V19:Y19)</f>
        <v>12.975000000000001</v>
      </c>
      <c r="AB19">
        <v>13</v>
      </c>
      <c r="AC19">
        <v>11.7</v>
      </c>
      <c r="AD19">
        <v>12.9</v>
      </c>
      <c r="AE19">
        <v>11.5</v>
      </c>
      <c r="AF19" s="7">
        <f>AVERAGE(AB19:AE19)</f>
        <v>12.275</v>
      </c>
    </row>
    <row r="20" spans="1:32">
      <c r="A20" s="8" t="s">
        <v>216</v>
      </c>
      <c r="B20" s="18" t="s">
        <v>165</v>
      </c>
      <c r="C20" s="19" t="s">
        <v>214</v>
      </c>
      <c r="D20" s="22">
        <f>28.8-7.5</f>
        <v>21.3</v>
      </c>
      <c r="E20" s="22">
        <f>8.8-2.5</f>
        <v>6.3000000000000007</v>
      </c>
      <c r="F20" s="23">
        <v>8</v>
      </c>
      <c r="G20" s="23">
        <v>2</v>
      </c>
      <c r="H20" s="23">
        <v>9.6</v>
      </c>
      <c r="I20" s="23">
        <v>5</v>
      </c>
      <c r="J20" s="23">
        <v>3</v>
      </c>
      <c r="K20" s="23">
        <v>1.4</v>
      </c>
      <c r="L20" s="23">
        <v>2</v>
      </c>
      <c r="M20" s="23">
        <v>2.1</v>
      </c>
      <c r="N20" s="23">
        <v>6</v>
      </c>
      <c r="O20" s="23">
        <v>4</v>
      </c>
      <c r="P20" s="23">
        <v>3</v>
      </c>
      <c r="Q20" s="23">
        <v>1.4</v>
      </c>
      <c r="R20" s="23">
        <v>5</v>
      </c>
      <c r="S20" s="22">
        <f t="shared" si="0"/>
        <v>80.100000000000009</v>
      </c>
      <c r="T20" s="46">
        <f>RANK(S20,S$19:S$21)</f>
        <v>2</v>
      </c>
      <c r="V20">
        <v>13.75</v>
      </c>
      <c r="W20">
        <v>13</v>
      </c>
      <c r="X20">
        <v>12.95</v>
      </c>
      <c r="Y20">
        <v>12.2</v>
      </c>
      <c r="Z20" s="7">
        <f>AVERAGE(V20:Y20)</f>
        <v>12.975000000000001</v>
      </c>
      <c r="AB20">
        <v>13</v>
      </c>
      <c r="AC20">
        <v>11.7</v>
      </c>
      <c r="AD20">
        <v>12.9</v>
      </c>
      <c r="AE20">
        <v>11.5</v>
      </c>
      <c r="AF20" s="7">
        <f>AVERAGE(AB20:AE20)</f>
        <v>12.275</v>
      </c>
    </row>
    <row r="21" spans="1:32">
      <c r="A21" s="8" t="s">
        <v>216</v>
      </c>
      <c r="B21" s="18" t="s">
        <v>193</v>
      </c>
      <c r="C21" s="19" t="s">
        <v>210</v>
      </c>
      <c r="D21" s="22">
        <f>29.6-7.5</f>
        <v>22.1</v>
      </c>
      <c r="E21" s="22">
        <f>9.9-2.5</f>
        <v>7.4</v>
      </c>
      <c r="F21" s="23">
        <v>6.2</v>
      </c>
      <c r="G21" s="23">
        <v>2</v>
      </c>
      <c r="H21" s="23">
        <v>7</v>
      </c>
      <c r="I21" s="23">
        <v>4.8</v>
      </c>
      <c r="J21" s="23">
        <v>3</v>
      </c>
      <c r="K21" s="23">
        <v>1.3</v>
      </c>
      <c r="L21" s="23">
        <v>0.8</v>
      </c>
      <c r="M21" s="23">
        <v>1.8</v>
      </c>
      <c r="N21" s="23">
        <v>4.7</v>
      </c>
      <c r="O21" s="23">
        <v>1.5</v>
      </c>
      <c r="P21" s="23">
        <v>3</v>
      </c>
      <c r="Q21" s="23">
        <v>1.8</v>
      </c>
      <c r="R21" s="23">
        <v>5</v>
      </c>
      <c r="S21" s="22">
        <f t="shared" si="0"/>
        <v>72.399999999999991</v>
      </c>
      <c r="T21" s="46">
        <f>RANK(S21,S$19:S$21)</f>
        <v>3</v>
      </c>
      <c r="V21">
        <v>13.25</v>
      </c>
      <c r="W21">
        <v>12.8</v>
      </c>
      <c r="X21">
        <v>12.45</v>
      </c>
      <c r="Y21">
        <v>13.6</v>
      </c>
      <c r="Z21" s="7">
        <f t="shared" si="2"/>
        <v>13.025</v>
      </c>
      <c r="AB21">
        <v>12.5</v>
      </c>
      <c r="AC21">
        <v>11.5</v>
      </c>
      <c r="AD21">
        <v>12</v>
      </c>
      <c r="AE21">
        <v>12</v>
      </c>
      <c r="AF21" s="7">
        <f t="shared" si="3"/>
        <v>12</v>
      </c>
    </row>
    <row r="22" spans="1:32" s="6" customFormat="1">
      <c r="B22" s="11"/>
      <c r="C22" s="49"/>
      <c r="D22" s="50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32" s="6" customFormat="1">
      <c r="B23" s="11" t="s">
        <v>167</v>
      </c>
      <c r="C23" s="49"/>
      <c r="D23" s="51">
        <f>MAX(D3:D21)</f>
        <v>30</v>
      </c>
      <c r="E23" s="51">
        <f>MAX(E3:E21)</f>
        <v>10</v>
      </c>
      <c r="F23" s="51">
        <f t="shared" ref="F23:S23" si="5">MAX(F3:F21)</f>
        <v>8</v>
      </c>
      <c r="G23" s="51">
        <f t="shared" si="5"/>
        <v>2</v>
      </c>
      <c r="H23" s="51">
        <f t="shared" si="5"/>
        <v>10</v>
      </c>
      <c r="I23" s="51">
        <f t="shared" si="5"/>
        <v>5</v>
      </c>
      <c r="J23" s="51">
        <f t="shared" si="5"/>
        <v>4.9000000000000004</v>
      </c>
      <c r="K23" s="51">
        <f t="shared" si="5"/>
        <v>2</v>
      </c>
      <c r="L23" s="51">
        <f t="shared" si="5"/>
        <v>4</v>
      </c>
      <c r="M23" s="51">
        <f t="shared" si="5"/>
        <v>3.5</v>
      </c>
      <c r="N23" s="51">
        <f>MAX(N3:N21)</f>
        <v>6</v>
      </c>
      <c r="O23" s="51">
        <f>MAX(O3:O21)</f>
        <v>4</v>
      </c>
      <c r="P23" s="51">
        <f>MAX(P3:P21)</f>
        <v>3</v>
      </c>
      <c r="Q23" s="51">
        <f t="shared" si="5"/>
        <v>2</v>
      </c>
      <c r="R23" s="51">
        <f t="shared" si="5"/>
        <v>5</v>
      </c>
      <c r="S23" s="51">
        <f t="shared" si="5"/>
        <v>97.100000000000009</v>
      </c>
    </row>
    <row r="24" spans="1:32" s="6" customFormat="1">
      <c r="B24" s="11" t="s">
        <v>168</v>
      </c>
      <c r="C24" s="49"/>
      <c r="D24" s="51">
        <f>MIN(D3:D21)</f>
        <v>0</v>
      </c>
      <c r="E24" s="51">
        <f>MIN(E3:E21)</f>
        <v>0</v>
      </c>
      <c r="F24" s="51">
        <f t="shared" ref="F24:S24" si="6">MIN(F3:F21)</f>
        <v>4.4000000000000004</v>
      </c>
      <c r="G24" s="51">
        <f t="shared" si="6"/>
        <v>0</v>
      </c>
      <c r="H24" s="51">
        <f t="shared" si="6"/>
        <v>7</v>
      </c>
      <c r="I24" s="51">
        <f t="shared" si="6"/>
        <v>2.1</v>
      </c>
      <c r="J24" s="51">
        <f t="shared" si="6"/>
        <v>0</v>
      </c>
      <c r="K24" s="51">
        <f t="shared" si="6"/>
        <v>0.4</v>
      </c>
      <c r="L24" s="51">
        <f t="shared" si="6"/>
        <v>0</v>
      </c>
      <c r="M24" s="51">
        <f t="shared" si="6"/>
        <v>0.9</v>
      </c>
      <c r="N24" s="51">
        <f>MIN(N3:N21)</f>
        <v>3.1</v>
      </c>
      <c r="O24" s="51">
        <f>MIN(O3:O21)</f>
        <v>0</v>
      </c>
      <c r="P24" s="51">
        <f>MIN(P3:P21)</f>
        <v>0</v>
      </c>
      <c r="Q24" s="51">
        <f t="shared" si="6"/>
        <v>0.5</v>
      </c>
      <c r="R24" s="51">
        <f t="shared" si="6"/>
        <v>3</v>
      </c>
      <c r="S24" s="51">
        <f t="shared" si="6"/>
        <v>30.199999999999996</v>
      </c>
    </row>
    <row r="25" spans="1:32" s="6" customFormat="1">
      <c r="B25" s="11" t="s">
        <v>166</v>
      </c>
      <c r="C25" s="49"/>
      <c r="D25" s="51">
        <f>AVERAGE(D3:D21)</f>
        <v>21.473684210526319</v>
      </c>
      <c r="E25" s="51">
        <f>AVERAGE(E3:E21)</f>
        <v>7.7368421052631593</v>
      </c>
      <c r="F25" s="51">
        <f t="shared" ref="F25:S25" si="7">AVERAGE(F3:F21)</f>
        <v>6.8947368421052628</v>
      </c>
      <c r="G25" s="51">
        <f t="shared" si="7"/>
        <v>1.6578947368421053</v>
      </c>
      <c r="H25" s="51">
        <f t="shared" si="7"/>
        <v>9.5473684210526315</v>
      </c>
      <c r="I25" s="51">
        <f t="shared" si="7"/>
        <v>4.4947368421052634</v>
      </c>
      <c r="J25" s="51">
        <f t="shared" si="7"/>
        <v>3.0473684210526315</v>
      </c>
      <c r="K25" s="51">
        <f t="shared" si="7"/>
        <v>1.3105263157894738</v>
      </c>
      <c r="L25" s="51">
        <f t="shared" si="7"/>
        <v>1.3894736842105264</v>
      </c>
      <c r="M25" s="51">
        <f t="shared" si="7"/>
        <v>2.1684210526315786</v>
      </c>
      <c r="N25" s="51">
        <f>AVERAGE(N3:N21)</f>
        <v>5.1421052631578945</v>
      </c>
      <c r="O25" s="51">
        <f>AVERAGE(O3:O21)</f>
        <v>2.1315789473684212</v>
      </c>
      <c r="P25" s="51">
        <f>AVERAGE(P3:P21)</f>
        <v>2.831578947368421</v>
      </c>
      <c r="Q25" s="51">
        <f t="shared" si="7"/>
        <v>1.6105263157894738</v>
      </c>
      <c r="R25" s="51">
        <f t="shared" si="7"/>
        <v>4.6526315789473687</v>
      </c>
      <c r="S25" s="51">
        <f t="shared" si="7"/>
        <v>76.089473684210517</v>
      </c>
    </row>
    <row r="26" spans="1:32" s="6" customFormat="1">
      <c r="B26" s="11" t="s">
        <v>179</v>
      </c>
      <c r="C26" s="49"/>
      <c r="D26" s="71">
        <f>D25/D2</f>
        <v>0.71578947368421064</v>
      </c>
      <c r="E26" s="71">
        <f>E25/E2</f>
        <v>0.77368421052631597</v>
      </c>
      <c r="F26" s="71">
        <f t="shared" ref="F26:S26" si="8">F25/F2</f>
        <v>0.86184210526315785</v>
      </c>
      <c r="G26" s="71">
        <f t="shared" si="8"/>
        <v>0.82894736842105265</v>
      </c>
      <c r="H26" s="71">
        <f t="shared" si="8"/>
        <v>0.95473684210526311</v>
      </c>
      <c r="I26" s="71">
        <f t="shared" si="8"/>
        <v>0.89894736842105272</v>
      </c>
      <c r="J26" s="71">
        <f t="shared" si="8"/>
        <v>0.60947368421052628</v>
      </c>
      <c r="K26" s="71">
        <f t="shared" si="8"/>
        <v>0.65526315789473688</v>
      </c>
      <c r="L26" s="71">
        <f>L25/L2</f>
        <v>0.3473684210526316</v>
      </c>
      <c r="M26" s="71">
        <f t="shared" si="8"/>
        <v>0.54210526315789465</v>
      </c>
      <c r="N26" s="71">
        <f t="shared" si="8"/>
        <v>0.85701754385964912</v>
      </c>
      <c r="O26" s="71">
        <f t="shared" si="8"/>
        <v>0.53289473684210531</v>
      </c>
      <c r="P26" s="71">
        <f t="shared" si="8"/>
        <v>0.94385964912280695</v>
      </c>
      <c r="Q26" s="71">
        <f t="shared" si="8"/>
        <v>0.8052631578947369</v>
      </c>
      <c r="R26" s="71">
        <f t="shared" si="8"/>
        <v>0.93052631578947376</v>
      </c>
      <c r="S26" s="71">
        <f t="shared" si="8"/>
        <v>0.76089473684210518</v>
      </c>
    </row>
    <row r="27" spans="1:32" s="6" customFormat="1">
      <c r="B27" s="11"/>
      <c r="C27" s="49"/>
      <c r="D27" s="50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</row>
    <row r="28" spans="1:32" s="6" customFormat="1">
      <c r="B28" s="11" t="s">
        <v>121</v>
      </c>
      <c r="C28" s="49"/>
      <c r="D28" s="50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32" s="6" customFormat="1">
      <c r="B29" s="11"/>
      <c r="C29" s="49"/>
      <c r="D29" s="50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</sheetData>
  <phoneticPr fontId="2"/>
  <conditionalFormatting sqref="Z3:Z21 AF3:AF21">
    <cfRule type="cellIs" dxfId="4" priority="2" stopIfTrue="1" operator="lessThan">
      <formula>11</formula>
    </cfRule>
  </conditionalFormatting>
  <pageMargins left="0.78700000000000003" right="0.78700000000000003" top="0.98399999999999999" bottom="0.98399999999999999" header="0.51200000000000001" footer="0.51200000000000001"/>
  <pageSetup paperSize="9" scale="9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zoomScale="115" zoomScaleNormal="115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AC15" sqref="AC15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4.75" style="11" customWidth="1"/>
    <col min="4" max="4" width="10.25" style="12" customWidth="1"/>
    <col min="5" max="5" width="6.625" style="13" customWidth="1"/>
    <col min="6" max="7" width="7.625" style="13" customWidth="1"/>
    <col min="8" max="9" width="11.25" style="13" hidden="1" customWidth="1"/>
    <col min="10" max="11" width="6.625" style="13" hidden="1" customWidth="1"/>
    <col min="12" max="13" width="6.625" style="15" customWidth="1"/>
    <col min="14" max="28" width="6.625" customWidth="1"/>
    <col min="29" max="29" width="15.25" customWidth="1"/>
  </cols>
  <sheetData>
    <row r="1" spans="1:42" s="1" customFormat="1">
      <c r="A1" s="31" t="s">
        <v>84</v>
      </c>
      <c r="B1" s="32" t="s">
        <v>85</v>
      </c>
      <c r="C1" s="32" t="s">
        <v>96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120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4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36" t="s">
        <v>92</v>
      </c>
      <c r="AD1" s="1" t="s">
        <v>169</v>
      </c>
      <c r="AE1" s="1" t="s">
        <v>170</v>
      </c>
      <c r="AF1" s="1" t="s">
        <v>171</v>
      </c>
      <c r="AG1" s="1" t="s">
        <v>172</v>
      </c>
      <c r="AH1" s="1" t="s">
        <v>222</v>
      </c>
      <c r="AI1" s="1" t="s">
        <v>173</v>
      </c>
      <c r="AK1" s="1" t="s">
        <v>174</v>
      </c>
      <c r="AL1" s="1" t="s">
        <v>175</v>
      </c>
      <c r="AM1" s="1" t="s">
        <v>176</v>
      </c>
      <c r="AN1" s="1" t="s">
        <v>177</v>
      </c>
      <c r="AO1" s="1" t="s">
        <v>223</v>
      </c>
      <c r="AP1" s="1" t="s">
        <v>178</v>
      </c>
    </row>
    <row r="2" spans="1:42" s="2" customFormat="1">
      <c r="A2" s="37"/>
      <c r="B2" s="38" t="s">
        <v>221</v>
      </c>
      <c r="C2" s="38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 t="shared" ref="AA2:AA15" si="0">SUM(L2:Z2)</f>
        <v>100</v>
      </c>
      <c r="AB2" s="44"/>
      <c r="AC2" s="43"/>
    </row>
    <row r="3" spans="1:42">
      <c r="A3" s="3" t="s">
        <v>90</v>
      </c>
      <c r="B3" s="9" t="s">
        <v>142</v>
      </c>
      <c r="C3" s="10" t="s">
        <v>197</v>
      </c>
      <c r="D3" s="10"/>
      <c r="E3" s="16">
        <v>0.3354166666666667</v>
      </c>
      <c r="F3" s="16">
        <v>0.35017361111111112</v>
      </c>
      <c r="G3" s="16">
        <v>0.47266203703703707</v>
      </c>
      <c r="H3" s="4">
        <v>2.4305555555555556E-2</v>
      </c>
      <c r="I3" s="4">
        <v>0.1388888888888889</v>
      </c>
      <c r="J3" s="4">
        <f t="shared" ref="J3:J15" si="1">F3-E3</f>
        <v>1.475694444444442E-2</v>
      </c>
      <c r="K3" s="4">
        <f t="shared" ref="K3:K15" si="2">G3-E3</f>
        <v>0.13724537037037038</v>
      </c>
      <c r="L3" s="5">
        <f t="shared" ref="L3:L15" si="3">MAX(IF(J3-H3&gt;0,L$2-ROUND((J3-H3)*60*24*0.5,1),L$2),0)</f>
        <v>20</v>
      </c>
      <c r="M3" s="5">
        <f t="shared" ref="M3:M15" si="4">MAX(IF(K3-I3&gt;0,L$2-ROUND((K3-I3)*60*24*0.5,1),L$2),0)</f>
        <v>20</v>
      </c>
      <c r="N3" s="17">
        <v>8</v>
      </c>
      <c r="O3" s="17">
        <v>2</v>
      </c>
      <c r="P3" s="17">
        <v>8</v>
      </c>
      <c r="Q3" s="17">
        <v>3.6</v>
      </c>
      <c r="R3" s="17">
        <v>4.4000000000000004</v>
      </c>
      <c r="S3" s="17">
        <v>1.2</v>
      </c>
      <c r="T3" s="17">
        <v>6</v>
      </c>
      <c r="U3" s="17">
        <v>4</v>
      </c>
      <c r="V3" s="17">
        <v>1.8</v>
      </c>
      <c r="W3" s="17">
        <v>5.4</v>
      </c>
      <c r="X3" s="17">
        <v>4</v>
      </c>
      <c r="Y3" s="17">
        <v>3</v>
      </c>
      <c r="Z3" s="17">
        <v>5</v>
      </c>
      <c r="AA3" s="5">
        <f t="shared" si="0"/>
        <v>96.4</v>
      </c>
      <c r="AB3" s="45">
        <f>RANK(AA3,AA$3:AA$7)</f>
        <v>2</v>
      </c>
      <c r="AC3" s="17"/>
      <c r="AD3" s="91">
        <v>11.8</v>
      </c>
      <c r="AE3" s="91">
        <v>12</v>
      </c>
      <c r="AF3" s="91">
        <v>12</v>
      </c>
      <c r="AG3" s="91">
        <v>12.3</v>
      </c>
      <c r="AH3" s="91"/>
      <c r="AI3" s="7">
        <f>AVERAGE(AD3:AH3)</f>
        <v>12.024999999999999</v>
      </c>
      <c r="AK3" s="91">
        <v>12</v>
      </c>
      <c r="AL3" s="91">
        <v>12</v>
      </c>
      <c r="AM3" s="91">
        <v>12</v>
      </c>
      <c r="AN3" s="91">
        <v>12</v>
      </c>
      <c r="AO3" s="91"/>
      <c r="AP3" s="7">
        <f>AVERAGE(AK3:AO3)</f>
        <v>12</v>
      </c>
    </row>
    <row r="4" spans="1:42">
      <c r="A4" s="3" t="s">
        <v>90</v>
      </c>
      <c r="B4" s="9" t="s">
        <v>165</v>
      </c>
      <c r="C4" s="10" t="s">
        <v>198</v>
      </c>
      <c r="D4" s="10"/>
      <c r="E4" s="16">
        <v>0.33611111111111108</v>
      </c>
      <c r="F4" s="16">
        <v>0.35643518518518519</v>
      </c>
      <c r="G4" s="16">
        <v>0.47746527777777775</v>
      </c>
      <c r="H4" s="4">
        <v>2.4305555555555556E-2</v>
      </c>
      <c r="I4" s="4">
        <v>0.1388888888888889</v>
      </c>
      <c r="J4" s="4">
        <f>F4-E4</f>
        <v>2.0324074074074105E-2</v>
      </c>
      <c r="K4" s="4">
        <f>G4-E4</f>
        <v>0.14135416666666667</v>
      </c>
      <c r="L4" s="5">
        <f>MAX(IF(J4-H4&gt;0,L$2-ROUND((J4-H4)*60*24*0.5,1),L$2),0)</f>
        <v>20</v>
      </c>
      <c r="M4" s="5">
        <f>MAX(IF(K4-I4&gt;0,L$2-ROUND((K4-I4)*60*24*0.5,1),L$2),0)</f>
        <v>18.2</v>
      </c>
      <c r="N4" s="17">
        <v>6.9</v>
      </c>
      <c r="O4" s="17">
        <v>2</v>
      </c>
      <c r="P4" s="17">
        <v>7.4</v>
      </c>
      <c r="Q4" s="17">
        <v>4</v>
      </c>
      <c r="R4" s="17">
        <v>3.6</v>
      </c>
      <c r="S4" s="17">
        <v>1</v>
      </c>
      <c r="T4" s="17">
        <v>2</v>
      </c>
      <c r="U4" s="17">
        <v>1.7</v>
      </c>
      <c r="V4" s="17">
        <v>1.4</v>
      </c>
      <c r="W4" s="17">
        <v>5.6</v>
      </c>
      <c r="X4" s="17">
        <v>2.7</v>
      </c>
      <c r="Y4" s="17">
        <v>3</v>
      </c>
      <c r="Z4" s="17">
        <v>5</v>
      </c>
      <c r="AA4" s="5">
        <f>SUM(L4:Z4)</f>
        <v>84.5</v>
      </c>
      <c r="AB4" s="45">
        <f>RANK(AA4,AA$3:AA$7)</f>
        <v>3</v>
      </c>
      <c r="AC4" s="17"/>
      <c r="AD4" s="91">
        <v>12.9</v>
      </c>
      <c r="AE4" s="91">
        <v>14.1</v>
      </c>
      <c r="AF4" s="91">
        <v>14.2</v>
      </c>
      <c r="AG4" s="91">
        <v>12.2</v>
      </c>
      <c r="AH4" s="91"/>
      <c r="AI4" s="7">
        <f t="shared" ref="AI4:AI15" si="5">AVERAGE(AD4:AH4)</f>
        <v>13.350000000000001</v>
      </c>
      <c r="AK4" s="91">
        <v>10.5</v>
      </c>
      <c r="AL4" s="91">
        <v>12.5</v>
      </c>
      <c r="AM4" s="91">
        <v>12</v>
      </c>
      <c r="AN4" s="91">
        <v>12</v>
      </c>
      <c r="AO4" s="91"/>
      <c r="AP4" s="7">
        <f t="shared" ref="AP4:AP15" si="6">AVERAGE(AK4:AO4)</f>
        <v>11.75</v>
      </c>
    </row>
    <row r="5" spans="1:42">
      <c r="A5" s="3" t="s">
        <v>90</v>
      </c>
      <c r="B5" s="9" t="s">
        <v>218</v>
      </c>
      <c r="C5" s="10" t="s">
        <v>199</v>
      </c>
      <c r="D5" s="10"/>
      <c r="E5" s="16">
        <v>0.33680555555555503</v>
      </c>
      <c r="F5" s="16">
        <v>0.3626388888888889</v>
      </c>
      <c r="G5" s="16">
        <v>0.48503472222222221</v>
      </c>
      <c r="H5" s="4">
        <v>2.4305555555555556E-2</v>
      </c>
      <c r="I5" s="4">
        <v>0.1388888888888889</v>
      </c>
      <c r="J5" s="4">
        <f t="shared" si="1"/>
        <v>2.5833333333333874E-2</v>
      </c>
      <c r="K5" s="4">
        <f t="shared" si="2"/>
        <v>0.14822916666666719</v>
      </c>
      <c r="L5" s="5">
        <f t="shared" si="3"/>
        <v>18.899999999999999</v>
      </c>
      <c r="M5" s="5">
        <f t="shared" si="4"/>
        <v>13.3</v>
      </c>
      <c r="N5" s="17">
        <v>2.8</v>
      </c>
      <c r="O5" s="17">
        <v>0.2</v>
      </c>
      <c r="P5" s="17">
        <f>7.8-0.2</f>
        <v>7.6</v>
      </c>
      <c r="Q5" s="17">
        <v>3.6</v>
      </c>
      <c r="R5" s="17">
        <v>0.6</v>
      </c>
      <c r="S5" s="17">
        <v>1.8</v>
      </c>
      <c r="T5" s="17">
        <v>1</v>
      </c>
      <c r="U5" s="17">
        <v>2.8</v>
      </c>
      <c r="V5" s="17">
        <v>1.2</v>
      </c>
      <c r="W5" s="17">
        <v>5.4</v>
      </c>
      <c r="X5" s="17">
        <v>1.7</v>
      </c>
      <c r="Y5" s="17">
        <v>2.5</v>
      </c>
      <c r="Z5" s="17">
        <v>5</v>
      </c>
      <c r="AA5" s="5">
        <f t="shared" si="0"/>
        <v>68.400000000000006</v>
      </c>
      <c r="AB5" s="45">
        <f>RANK(AA5,AA$3:AA$7)</f>
        <v>4</v>
      </c>
      <c r="AC5" s="17"/>
      <c r="AD5" s="91">
        <v>15.9</v>
      </c>
      <c r="AE5" s="91">
        <v>13.2</v>
      </c>
      <c r="AF5" s="91">
        <v>13.9</v>
      </c>
      <c r="AG5" s="91">
        <v>12.3</v>
      </c>
      <c r="AH5" s="91"/>
      <c r="AI5" s="7">
        <f t="shared" si="5"/>
        <v>13.824999999999999</v>
      </c>
      <c r="AK5" s="91">
        <v>14</v>
      </c>
      <c r="AL5" s="91">
        <v>12</v>
      </c>
      <c r="AM5" s="91">
        <v>12</v>
      </c>
      <c r="AN5" s="91">
        <v>12</v>
      </c>
      <c r="AO5" s="91"/>
      <c r="AP5" s="7">
        <f t="shared" si="6"/>
        <v>12.5</v>
      </c>
    </row>
    <row r="6" spans="1:42">
      <c r="A6" s="3" t="s">
        <v>90</v>
      </c>
      <c r="B6" s="9" t="s">
        <v>180</v>
      </c>
      <c r="C6" s="73" t="s">
        <v>200</v>
      </c>
      <c r="D6" s="10"/>
      <c r="E6" s="16">
        <v>0.33750000000000002</v>
      </c>
      <c r="F6" s="16">
        <v>0.35145833333333337</v>
      </c>
      <c r="G6" s="16">
        <v>0.47094907407407405</v>
      </c>
      <c r="H6" s="4">
        <v>2.4305555555555556E-2</v>
      </c>
      <c r="I6" s="4">
        <v>0.1388888888888889</v>
      </c>
      <c r="J6" s="4">
        <f t="shared" si="1"/>
        <v>1.395833333333335E-2</v>
      </c>
      <c r="K6" s="4">
        <f t="shared" si="2"/>
        <v>0.13344907407407403</v>
      </c>
      <c r="L6" s="5">
        <f t="shared" si="3"/>
        <v>20</v>
      </c>
      <c r="M6" s="5">
        <f t="shared" si="4"/>
        <v>20</v>
      </c>
      <c r="N6" s="17">
        <v>8</v>
      </c>
      <c r="O6" s="17">
        <v>2</v>
      </c>
      <c r="P6" s="17">
        <v>8</v>
      </c>
      <c r="Q6" s="17">
        <v>4</v>
      </c>
      <c r="R6" s="17">
        <v>4.7</v>
      </c>
      <c r="S6" s="17">
        <v>2</v>
      </c>
      <c r="T6" s="17">
        <v>7</v>
      </c>
      <c r="U6" s="17">
        <v>3.7</v>
      </c>
      <c r="V6" s="17">
        <v>2</v>
      </c>
      <c r="W6" s="17">
        <v>6</v>
      </c>
      <c r="X6" s="17">
        <v>4</v>
      </c>
      <c r="Y6" s="17">
        <v>3</v>
      </c>
      <c r="Z6" s="17">
        <v>5</v>
      </c>
      <c r="AA6" s="5">
        <f t="shared" si="0"/>
        <v>99.4</v>
      </c>
      <c r="AB6" s="45">
        <f>RANK(AA6,AA$3:AA$7)</f>
        <v>1</v>
      </c>
      <c r="AC6" s="17"/>
      <c r="AD6" s="91">
        <v>12</v>
      </c>
      <c r="AE6" s="91">
        <v>11.8</v>
      </c>
      <c r="AF6" s="91">
        <v>11.5</v>
      </c>
      <c r="AG6" s="91">
        <v>12.8</v>
      </c>
      <c r="AH6" s="91"/>
      <c r="AI6" s="7">
        <f t="shared" si="5"/>
        <v>12.024999999999999</v>
      </c>
      <c r="AK6" s="91">
        <v>12.5</v>
      </c>
      <c r="AL6" s="91">
        <v>11.5</v>
      </c>
      <c r="AM6" s="91">
        <v>11.5</v>
      </c>
      <c r="AN6" s="91">
        <v>11</v>
      </c>
      <c r="AO6" s="91"/>
      <c r="AP6" s="7">
        <f t="shared" si="6"/>
        <v>11.625</v>
      </c>
    </row>
    <row r="7" spans="1:42" ht="14.25" thickBot="1">
      <c r="A7" s="63" t="s">
        <v>90</v>
      </c>
      <c r="B7" s="64" t="s">
        <v>140</v>
      </c>
      <c r="C7" s="65" t="s">
        <v>201</v>
      </c>
      <c r="D7" s="65"/>
      <c r="E7" s="66">
        <v>0.33819444444444402</v>
      </c>
      <c r="F7" s="66">
        <v>0.37504629629629632</v>
      </c>
      <c r="G7" s="66">
        <v>0.53618055555555555</v>
      </c>
      <c r="H7" s="67">
        <v>2.4305555555555556E-2</v>
      </c>
      <c r="I7" s="67">
        <v>0.1388888888888889</v>
      </c>
      <c r="J7" s="67">
        <f t="shared" si="1"/>
        <v>3.6851851851852302E-2</v>
      </c>
      <c r="K7" s="67">
        <f t="shared" si="2"/>
        <v>0.19798611111111153</v>
      </c>
      <c r="L7" s="68">
        <f t="shared" si="3"/>
        <v>11</v>
      </c>
      <c r="M7" s="68">
        <f t="shared" si="4"/>
        <v>0</v>
      </c>
      <c r="N7" s="69">
        <v>6</v>
      </c>
      <c r="O7" s="69">
        <v>2</v>
      </c>
      <c r="P7" s="69">
        <v>8</v>
      </c>
      <c r="Q7" s="69">
        <v>3.2</v>
      </c>
      <c r="R7" s="69">
        <v>3.8</v>
      </c>
      <c r="S7" s="69">
        <v>1</v>
      </c>
      <c r="T7" s="69">
        <v>4.5</v>
      </c>
      <c r="U7" s="69">
        <v>3.3</v>
      </c>
      <c r="V7" s="69">
        <v>1.8</v>
      </c>
      <c r="W7" s="69">
        <v>6</v>
      </c>
      <c r="X7" s="69">
        <v>3.7</v>
      </c>
      <c r="Y7" s="69">
        <v>3</v>
      </c>
      <c r="Z7" s="69">
        <v>5</v>
      </c>
      <c r="AA7" s="68">
        <f t="shared" si="0"/>
        <v>62.3</v>
      </c>
      <c r="AB7" s="70">
        <f>RANK(AA7,AA$3:AA$7)</f>
        <v>5</v>
      </c>
      <c r="AC7" s="69"/>
      <c r="AD7" s="91">
        <v>13.3</v>
      </c>
      <c r="AE7" s="91">
        <v>12.8</v>
      </c>
      <c r="AF7" s="91">
        <v>13</v>
      </c>
      <c r="AG7" s="91">
        <v>14</v>
      </c>
      <c r="AH7" s="91"/>
      <c r="AI7" s="7">
        <f t="shared" si="5"/>
        <v>13.275</v>
      </c>
      <c r="AK7" s="91">
        <v>12.5</v>
      </c>
      <c r="AL7" s="91">
        <v>12</v>
      </c>
      <c r="AM7" s="91">
        <v>13</v>
      </c>
      <c r="AN7" s="91">
        <v>12</v>
      </c>
      <c r="AO7" s="91"/>
      <c r="AP7" s="7">
        <f t="shared" si="6"/>
        <v>12.375</v>
      </c>
    </row>
    <row r="8" spans="1:42">
      <c r="A8" s="8" t="s">
        <v>93</v>
      </c>
      <c r="B8" s="18" t="s">
        <v>182</v>
      </c>
      <c r="C8" s="19" t="s">
        <v>203</v>
      </c>
      <c r="D8" s="19"/>
      <c r="E8" s="20">
        <v>0.33888888888888902</v>
      </c>
      <c r="F8" s="20">
        <v>0.35629629629629633</v>
      </c>
      <c r="G8" s="20">
        <v>0.47837962962962965</v>
      </c>
      <c r="H8" s="21">
        <v>2.4305555555555556E-2</v>
      </c>
      <c r="I8" s="21">
        <v>0.1388888888888889</v>
      </c>
      <c r="J8" s="21">
        <f t="shared" si="1"/>
        <v>1.7407407407407316E-2</v>
      </c>
      <c r="K8" s="21">
        <f t="shared" si="2"/>
        <v>0.13949074074074064</v>
      </c>
      <c r="L8" s="22">
        <f t="shared" si="3"/>
        <v>20</v>
      </c>
      <c r="M8" s="22">
        <f t="shared" si="4"/>
        <v>19.600000000000001</v>
      </c>
      <c r="N8" s="23">
        <v>8</v>
      </c>
      <c r="O8" s="23">
        <v>2</v>
      </c>
      <c r="P8" s="23">
        <v>8</v>
      </c>
      <c r="Q8" s="23">
        <v>4</v>
      </c>
      <c r="R8" s="23">
        <v>4.5999999999999996</v>
      </c>
      <c r="S8" s="23">
        <v>1.6</v>
      </c>
      <c r="T8" s="23">
        <v>7</v>
      </c>
      <c r="U8" s="23">
        <v>3.9</v>
      </c>
      <c r="V8" s="23">
        <v>2</v>
      </c>
      <c r="W8" s="23">
        <v>5.8</v>
      </c>
      <c r="X8" s="23">
        <v>4</v>
      </c>
      <c r="Y8" s="23">
        <v>3</v>
      </c>
      <c r="Z8" s="23">
        <v>5</v>
      </c>
      <c r="AA8" s="22">
        <f t="shared" si="0"/>
        <v>98.5</v>
      </c>
      <c r="AB8" s="46">
        <f t="shared" ref="AB8:AB13" si="7">RANK(AA8,AA$8:AA$13)</f>
        <v>3</v>
      </c>
      <c r="AC8" s="23"/>
      <c r="AD8" s="91">
        <v>14</v>
      </c>
      <c r="AE8" s="91">
        <v>11.9</v>
      </c>
      <c r="AF8" s="91">
        <v>11.6</v>
      </c>
      <c r="AG8" s="91">
        <v>12.4</v>
      </c>
      <c r="AH8" s="91"/>
      <c r="AI8" s="7">
        <f t="shared" si="5"/>
        <v>12.475</v>
      </c>
      <c r="AK8" s="91">
        <v>14</v>
      </c>
      <c r="AL8" s="91">
        <v>12</v>
      </c>
      <c r="AM8" s="91">
        <v>10.5</v>
      </c>
      <c r="AN8" s="91">
        <v>12</v>
      </c>
      <c r="AO8" s="91"/>
      <c r="AP8" s="7">
        <f t="shared" si="6"/>
        <v>12.125</v>
      </c>
    </row>
    <row r="9" spans="1:42">
      <c r="A9" s="3" t="s">
        <v>93</v>
      </c>
      <c r="B9" s="9" t="s">
        <v>219</v>
      </c>
      <c r="C9" s="10" t="s">
        <v>204</v>
      </c>
      <c r="D9" s="10"/>
      <c r="E9" s="16">
        <v>0.33958333333333302</v>
      </c>
      <c r="F9" s="16">
        <v>0.3566319444444444</v>
      </c>
      <c r="G9" s="16">
        <v>0.47196759259259258</v>
      </c>
      <c r="H9" s="4">
        <v>2.4305555555555556E-2</v>
      </c>
      <c r="I9" s="4">
        <v>0.1388888888888889</v>
      </c>
      <c r="J9" s="4">
        <f t="shared" si="1"/>
        <v>1.7048611111111389E-2</v>
      </c>
      <c r="K9" s="4">
        <f t="shared" si="2"/>
        <v>0.13238425925925956</v>
      </c>
      <c r="L9" s="5">
        <f t="shared" si="3"/>
        <v>20</v>
      </c>
      <c r="M9" s="5">
        <f t="shared" si="4"/>
        <v>20</v>
      </c>
      <c r="N9" s="17">
        <v>7.8</v>
      </c>
      <c r="O9" s="17">
        <v>1.6</v>
      </c>
      <c r="P9" s="17">
        <v>8</v>
      </c>
      <c r="Q9" s="17">
        <v>4</v>
      </c>
      <c r="R9" s="17">
        <v>3.7</v>
      </c>
      <c r="S9" s="17">
        <v>1.4</v>
      </c>
      <c r="T9" s="17">
        <v>4</v>
      </c>
      <c r="U9" s="17">
        <v>3.6</v>
      </c>
      <c r="V9" s="17">
        <v>1.6</v>
      </c>
      <c r="W9" s="17">
        <v>5.2</v>
      </c>
      <c r="X9" s="17">
        <v>4</v>
      </c>
      <c r="Y9" s="17">
        <v>3</v>
      </c>
      <c r="Z9" s="17">
        <v>5</v>
      </c>
      <c r="AA9" s="5">
        <f t="shared" si="0"/>
        <v>92.899999999999991</v>
      </c>
      <c r="AB9" s="46">
        <f t="shared" si="7"/>
        <v>5</v>
      </c>
      <c r="AC9" s="17"/>
      <c r="AD9" s="91">
        <v>12.8</v>
      </c>
      <c r="AE9" s="91">
        <v>13.2</v>
      </c>
      <c r="AF9" s="91">
        <v>12.2</v>
      </c>
      <c r="AG9" s="91">
        <v>12.3</v>
      </c>
      <c r="AH9" s="91"/>
      <c r="AI9" s="7">
        <f t="shared" si="5"/>
        <v>12.625</v>
      </c>
      <c r="AK9" s="91">
        <v>10.5</v>
      </c>
      <c r="AL9" s="91">
        <v>13.5</v>
      </c>
      <c r="AM9" s="91">
        <v>11.5</v>
      </c>
      <c r="AN9" s="91">
        <v>12.5</v>
      </c>
      <c r="AO9" s="91"/>
      <c r="AP9" s="7">
        <f t="shared" si="6"/>
        <v>12</v>
      </c>
    </row>
    <row r="10" spans="1:42">
      <c r="A10" s="3" t="s">
        <v>93</v>
      </c>
      <c r="B10" s="9" t="s">
        <v>181</v>
      </c>
      <c r="C10" s="10" t="s">
        <v>205</v>
      </c>
      <c r="D10" s="10"/>
      <c r="E10" s="16">
        <v>0.34027777777777701</v>
      </c>
      <c r="F10" s="16">
        <v>0.36532407407407402</v>
      </c>
      <c r="G10" s="16">
        <v>0.48024305555555552</v>
      </c>
      <c r="H10" s="4">
        <v>2.4305555555555556E-2</v>
      </c>
      <c r="I10" s="4">
        <v>0.1388888888888889</v>
      </c>
      <c r="J10" s="4">
        <f t="shared" si="1"/>
        <v>2.504629629629701E-2</v>
      </c>
      <c r="K10" s="4">
        <f t="shared" si="2"/>
        <v>0.13996527777777851</v>
      </c>
      <c r="L10" s="5">
        <f t="shared" si="3"/>
        <v>19.5</v>
      </c>
      <c r="M10" s="5">
        <f t="shared" si="4"/>
        <v>19.2</v>
      </c>
      <c r="N10" s="17">
        <v>6.4</v>
      </c>
      <c r="O10" s="17">
        <v>2</v>
      </c>
      <c r="P10" s="17">
        <v>4.0999999999999996</v>
      </c>
      <c r="Q10" s="17">
        <v>3.6</v>
      </c>
      <c r="R10" s="17">
        <v>0.1</v>
      </c>
      <c r="S10" s="17">
        <v>1.8</v>
      </c>
      <c r="T10" s="17">
        <v>0.5</v>
      </c>
      <c r="U10" s="17">
        <v>1.8</v>
      </c>
      <c r="V10" s="17">
        <v>1</v>
      </c>
      <c r="W10" s="17">
        <v>4.5</v>
      </c>
      <c r="X10" s="17">
        <v>2.4</v>
      </c>
      <c r="Y10" s="17">
        <v>2</v>
      </c>
      <c r="Z10" s="17">
        <v>5</v>
      </c>
      <c r="AA10" s="5">
        <f t="shared" si="0"/>
        <v>73.900000000000006</v>
      </c>
      <c r="AB10" s="46">
        <f t="shared" si="7"/>
        <v>6</v>
      </c>
      <c r="AC10" s="17"/>
      <c r="AD10" s="91">
        <v>15.4</v>
      </c>
      <c r="AE10" s="91">
        <v>12.8</v>
      </c>
      <c r="AF10" s="91">
        <v>16.100000000000001</v>
      </c>
      <c r="AG10" s="91"/>
      <c r="AH10" s="91"/>
      <c r="AI10" s="7">
        <f t="shared" si="5"/>
        <v>14.766666666666667</v>
      </c>
      <c r="AK10" s="91">
        <v>12</v>
      </c>
      <c r="AL10" s="91">
        <v>16</v>
      </c>
      <c r="AM10" s="91">
        <v>14</v>
      </c>
      <c r="AN10" s="91"/>
      <c r="AO10" s="91"/>
      <c r="AP10" s="7">
        <f t="shared" si="6"/>
        <v>14</v>
      </c>
    </row>
    <row r="11" spans="1:42">
      <c r="A11" s="3" t="s">
        <v>93</v>
      </c>
      <c r="B11" s="9" t="s">
        <v>162</v>
      </c>
      <c r="C11" s="10" t="s">
        <v>206</v>
      </c>
      <c r="D11" s="10"/>
      <c r="E11" s="16">
        <v>0.34097222222222201</v>
      </c>
      <c r="F11" s="16">
        <v>0.35795138888888894</v>
      </c>
      <c r="G11" s="16">
        <v>0.47671296296296295</v>
      </c>
      <c r="H11" s="4">
        <v>2.4305555555555556E-2</v>
      </c>
      <c r="I11" s="4">
        <v>0.1388888888888889</v>
      </c>
      <c r="J11" s="4">
        <f t="shared" si="1"/>
        <v>1.6979166666666934E-2</v>
      </c>
      <c r="K11" s="4">
        <f t="shared" si="2"/>
        <v>0.13574074074074094</v>
      </c>
      <c r="L11" s="5">
        <f t="shared" si="3"/>
        <v>20</v>
      </c>
      <c r="M11" s="5">
        <f t="shared" si="4"/>
        <v>20</v>
      </c>
      <c r="N11" s="17">
        <v>8</v>
      </c>
      <c r="O11" s="17">
        <v>2</v>
      </c>
      <c r="P11" s="17">
        <v>8</v>
      </c>
      <c r="Q11" s="17">
        <v>4</v>
      </c>
      <c r="R11" s="17">
        <v>4.7</v>
      </c>
      <c r="S11" s="17">
        <v>2</v>
      </c>
      <c r="T11" s="17">
        <v>7</v>
      </c>
      <c r="U11" s="17">
        <v>3.4</v>
      </c>
      <c r="V11" s="17">
        <v>2</v>
      </c>
      <c r="W11" s="17">
        <v>5.9</v>
      </c>
      <c r="X11" s="17">
        <v>4</v>
      </c>
      <c r="Y11" s="17">
        <v>3</v>
      </c>
      <c r="Z11" s="17">
        <v>5</v>
      </c>
      <c r="AA11" s="5">
        <f t="shared" si="0"/>
        <v>99.000000000000014</v>
      </c>
      <c r="AB11" s="46">
        <f t="shared" si="7"/>
        <v>2</v>
      </c>
      <c r="AC11" s="17"/>
      <c r="AD11" s="91">
        <v>12.2</v>
      </c>
      <c r="AE11" s="91">
        <v>9.1</v>
      </c>
      <c r="AF11" s="91">
        <v>11.8</v>
      </c>
      <c r="AG11" s="91">
        <v>12.3</v>
      </c>
      <c r="AH11" s="91">
        <v>12.4</v>
      </c>
      <c r="AI11" s="7">
        <f t="shared" si="5"/>
        <v>11.559999999999999</v>
      </c>
      <c r="AK11" s="91">
        <v>12</v>
      </c>
      <c r="AL11" s="91">
        <v>8.5</v>
      </c>
      <c r="AM11" s="91">
        <v>11.5</v>
      </c>
      <c r="AN11" s="91">
        <v>12</v>
      </c>
      <c r="AO11" s="91">
        <v>12</v>
      </c>
      <c r="AP11" s="7">
        <f t="shared" si="6"/>
        <v>11.2</v>
      </c>
    </row>
    <row r="12" spans="1:42">
      <c r="A12" s="3" t="s">
        <v>93</v>
      </c>
      <c r="B12" s="9" t="s">
        <v>220</v>
      </c>
      <c r="C12" s="10" t="s">
        <v>207</v>
      </c>
      <c r="D12" s="10"/>
      <c r="E12" s="16">
        <v>0.34166666666666601</v>
      </c>
      <c r="F12" s="16">
        <v>0.35690972222222223</v>
      </c>
      <c r="G12" s="16">
        <v>0.47500000000000003</v>
      </c>
      <c r="H12" s="4">
        <v>2.4305555555555556E-2</v>
      </c>
      <c r="I12" s="4">
        <v>0.1388888888888889</v>
      </c>
      <c r="J12" s="4">
        <f t="shared" si="1"/>
        <v>1.5243055555556217E-2</v>
      </c>
      <c r="K12" s="4">
        <f t="shared" si="2"/>
        <v>0.13333333333333403</v>
      </c>
      <c r="L12" s="5">
        <f t="shared" si="3"/>
        <v>20</v>
      </c>
      <c r="M12" s="5">
        <f t="shared" si="4"/>
        <v>20</v>
      </c>
      <c r="N12" s="17">
        <v>8</v>
      </c>
      <c r="O12" s="17">
        <v>2</v>
      </c>
      <c r="P12" s="17">
        <v>8</v>
      </c>
      <c r="Q12" s="17">
        <v>4</v>
      </c>
      <c r="R12" s="17">
        <v>4.5</v>
      </c>
      <c r="S12" s="17">
        <v>1.8</v>
      </c>
      <c r="T12" s="17">
        <v>7</v>
      </c>
      <c r="U12" s="17">
        <v>4</v>
      </c>
      <c r="V12" s="17">
        <v>1.8</v>
      </c>
      <c r="W12" s="17">
        <v>5.4</v>
      </c>
      <c r="X12" s="17">
        <v>4</v>
      </c>
      <c r="Y12" s="17">
        <v>3</v>
      </c>
      <c r="Z12" s="17">
        <v>5</v>
      </c>
      <c r="AA12" s="5">
        <f t="shared" si="0"/>
        <v>98.5</v>
      </c>
      <c r="AB12" s="46">
        <f t="shared" si="7"/>
        <v>3</v>
      </c>
      <c r="AC12" s="17"/>
      <c r="AD12" s="91">
        <v>13</v>
      </c>
      <c r="AE12" s="91">
        <v>12.3</v>
      </c>
      <c r="AF12" s="91">
        <v>13.6</v>
      </c>
      <c r="AG12" s="91"/>
      <c r="AH12" s="91"/>
      <c r="AI12" s="7">
        <f t="shared" si="5"/>
        <v>12.966666666666667</v>
      </c>
      <c r="AK12" s="91">
        <v>12.5</v>
      </c>
      <c r="AL12" s="91">
        <v>12.5</v>
      </c>
      <c r="AM12" s="91">
        <v>11.5</v>
      </c>
      <c r="AN12" s="91"/>
      <c r="AO12" s="91"/>
      <c r="AP12" s="7">
        <f t="shared" si="6"/>
        <v>12.166666666666666</v>
      </c>
    </row>
    <row r="13" spans="1:42" ht="14.25" thickBot="1">
      <c r="A13" s="47" t="s">
        <v>93</v>
      </c>
      <c r="B13" s="24" t="s">
        <v>191</v>
      </c>
      <c r="C13" s="25" t="s">
        <v>208</v>
      </c>
      <c r="D13" s="25"/>
      <c r="E13" s="26">
        <v>0.34236111111111101</v>
      </c>
      <c r="F13" s="26">
        <v>0.35688657407407409</v>
      </c>
      <c r="G13" s="26">
        <v>0.47471064814814817</v>
      </c>
      <c r="H13" s="27">
        <v>2.4305555555555556E-2</v>
      </c>
      <c r="I13" s="27">
        <v>0.1388888888888889</v>
      </c>
      <c r="J13" s="27">
        <f t="shared" si="1"/>
        <v>1.4525462962963087E-2</v>
      </c>
      <c r="K13" s="27">
        <f t="shared" si="2"/>
        <v>0.13234953703703717</v>
      </c>
      <c r="L13" s="28">
        <f t="shared" si="3"/>
        <v>20</v>
      </c>
      <c r="M13" s="28">
        <f t="shared" si="4"/>
        <v>20</v>
      </c>
      <c r="N13" s="29">
        <v>8</v>
      </c>
      <c r="O13" s="29">
        <v>2</v>
      </c>
      <c r="P13" s="29">
        <v>8</v>
      </c>
      <c r="Q13" s="29">
        <v>4</v>
      </c>
      <c r="R13" s="29">
        <v>4.4000000000000004</v>
      </c>
      <c r="S13" s="29">
        <v>2</v>
      </c>
      <c r="T13" s="29">
        <v>7</v>
      </c>
      <c r="U13" s="29">
        <v>4</v>
      </c>
      <c r="V13" s="29">
        <v>2</v>
      </c>
      <c r="W13" s="29">
        <v>6</v>
      </c>
      <c r="X13" s="29">
        <v>4</v>
      </c>
      <c r="Y13" s="29">
        <v>3</v>
      </c>
      <c r="Z13" s="29">
        <v>5</v>
      </c>
      <c r="AA13" s="28">
        <f t="shared" si="0"/>
        <v>99.4</v>
      </c>
      <c r="AB13" s="48">
        <f t="shared" si="7"/>
        <v>1</v>
      </c>
      <c r="AC13" s="29"/>
      <c r="AD13" s="91">
        <v>13.4</v>
      </c>
      <c r="AE13" s="91">
        <v>10.6</v>
      </c>
      <c r="AF13" s="91">
        <v>11.8</v>
      </c>
      <c r="AG13" s="91">
        <v>11.3</v>
      </c>
      <c r="AH13" s="91"/>
      <c r="AI13" s="7">
        <f t="shared" si="5"/>
        <v>11.774999999999999</v>
      </c>
      <c r="AK13" s="91">
        <v>13</v>
      </c>
      <c r="AL13" s="91">
        <v>11</v>
      </c>
      <c r="AM13" s="91">
        <v>10.3</v>
      </c>
      <c r="AN13" s="91">
        <v>11.5</v>
      </c>
      <c r="AO13" s="91"/>
      <c r="AP13" s="7">
        <f t="shared" si="6"/>
        <v>11.45</v>
      </c>
    </row>
    <row r="14" spans="1:42" ht="15" thickTop="1" thickBot="1">
      <c r="A14" s="75" t="s">
        <v>91</v>
      </c>
      <c r="B14" s="76" t="s">
        <v>47</v>
      </c>
      <c r="C14" s="77" t="s">
        <v>211</v>
      </c>
      <c r="D14" s="77"/>
      <c r="E14" s="87">
        <v>0.343055555555555</v>
      </c>
      <c r="F14" s="87">
        <v>0.37008101851851855</v>
      </c>
      <c r="G14" s="87">
        <v>0.49473379629629632</v>
      </c>
      <c r="H14" s="88">
        <v>3.125E-2</v>
      </c>
      <c r="I14" s="88">
        <v>0.15277777777777776</v>
      </c>
      <c r="J14" s="88">
        <f t="shared" si="1"/>
        <v>2.7025462962963542E-2</v>
      </c>
      <c r="K14" s="88">
        <f t="shared" si="2"/>
        <v>0.15167824074074132</v>
      </c>
      <c r="L14" s="78">
        <f t="shared" si="3"/>
        <v>20</v>
      </c>
      <c r="M14" s="78">
        <f t="shared" si="4"/>
        <v>20</v>
      </c>
      <c r="N14" s="79">
        <v>6</v>
      </c>
      <c r="O14" s="79">
        <v>1.6</v>
      </c>
      <c r="P14" s="79">
        <v>7.8</v>
      </c>
      <c r="Q14" s="79">
        <v>4</v>
      </c>
      <c r="R14" s="79">
        <v>1.1000000000000001</v>
      </c>
      <c r="S14" s="79">
        <v>1.4</v>
      </c>
      <c r="T14" s="79">
        <v>4</v>
      </c>
      <c r="U14" s="79">
        <v>3.8</v>
      </c>
      <c r="V14" s="79">
        <v>1.8</v>
      </c>
      <c r="W14" s="79">
        <v>4.9000000000000004</v>
      </c>
      <c r="X14" s="79">
        <v>4</v>
      </c>
      <c r="Y14" s="79">
        <v>3</v>
      </c>
      <c r="Z14" s="79">
        <v>4.0999999999999996</v>
      </c>
      <c r="AA14" s="78">
        <f>SUM(L14:Z14)-0.1</f>
        <v>87.4</v>
      </c>
      <c r="AB14" s="80">
        <f>RANK(AA14,AA$14)</f>
        <v>1</v>
      </c>
      <c r="AC14" s="79" t="s">
        <v>224</v>
      </c>
      <c r="AD14" s="91">
        <v>10.5</v>
      </c>
      <c r="AE14" s="91">
        <v>12.7</v>
      </c>
      <c r="AF14" s="91">
        <v>9.5</v>
      </c>
      <c r="AG14" s="91">
        <v>12.5</v>
      </c>
      <c r="AH14" s="91"/>
      <c r="AI14" s="7">
        <f t="shared" si="5"/>
        <v>11.3</v>
      </c>
      <c r="AK14" s="91">
        <v>10</v>
      </c>
      <c r="AL14" s="91">
        <v>12</v>
      </c>
      <c r="AM14" s="91">
        <v>9</v>
      </c>
      <c r="AN14" s="91">
        <v>12.5</v>
      </c>
      <c r="AO14" s="91"/>
      <c r="AP14" s="7">
        <f t="shared" si="6"/>
        <v>10.875</v>
      </c>
    </row>
    <row r="15" spans="1:42" ht="14.25" thickBot="1">
      <c r="A15" s="81" t="s">
        <v>110</v>
      </c>
      <c r="B15" s="82" t="s">
        <v>189</v>
      </c>
      <c r="C15" s="83" t="s">
        <v>213</v>
      </c>
      <c r="D15" s="83"/>
      <c r="E15" s="89">
        <v>0.343749999999999</v>
      </c>
      <c r="F15" s="89">
        <v>0.37043981481481486</v>
      </c>
      <c r="G15" s="89">
        <v>0.49664351851851851</v>
      </c>
      <c r="H15" s="90">
        <v>3.125E-2</v>
      </c>
      <c r="I15" s="90">
        <v>0.15277777777777776</v>
      </c>
      <c r="J15" s="90">
        <f t="shared" si="1"/>
        <v>2.668981481481586E-2</v>
      </c>
      <c r="K15" s="90">
        <f t="shared" si="2"/>
        <v>0.15289351851851951</v>
      </c>
      <c r="L15" s="84">
        <f t="shared" si="3"/>
        <v>20</v>
      </c>
      <c r="M15" s="84">
        <f t="shared" si="4"/>
        <v>19.899999999999999</v>
      </c>
      <c r="N15" s="85">
        <v>7.1</v>
      </c>
      <c r="O15" s="85">
        <v>1.8</v>
      </c>
      <c r="P15" s="85">
        <v>8</v>
      </c>
      <c r="Q15" s="85">
        <v>4</v>
      </c>
      <c r="R15" s="85">
        <v>4.3</v>
      </c>
      <c r="S15" s="85">
        <v>1.2</v>
      </c>
      <c r="T15" s="85">
        <v>6</v>
      </c>
      <c r="U15" s="85">
        <v>3.1</v>
      </c>
      <c r="V15" s="85">
        <v>1.6</v>
      </c>
      <c r="W15" s="85">
        <v>5.8</v>
      </c>
      <c r="X15" s="85">
        <v>4</v>
      </c>
      <c r="Y15" s="85">
        <v>3</v>
      </c>
      <c r="Z15" s="85">
        <v>5</v>
      </c>
      <c r="AA15" s="84">
        <f t="shared" si="0"/>
        <v>94.799999999999983</v>
      </c>
      <c r="AB15" s="86">
        <f>RANK(AA15,AA$15)</f>
        <v>1</v>
      </c>
      <c r="AC15" s="85"/>
      <c r="AD15" s="91">
        <v>12</v>
      </c>
      <c r="AE15" s="91">
        <v>11.9</v>
      </c>
      <c r="AF15" s="91">
        <v>14.1</v>
      </c>
      <c r="AG15" s="91">
        <v>12.5</v>
      </c>
      <c r="AH15" s="91"/>
      <c r="AI15" s="7">
        <f t="shared" si="5"/>
        <v>12.625</v>
      </c>
      <c r="AK15" s="91">
        <v>11.5</v>
      </c>
      <c r="AL15" s="91">
        <v>12</v>
      </c>
      <c r="AM15" s="91">
        <v>10.5</v>
      </c>
      <c r="AN15" s="91">
        <v>13.5</v>
      </c>
      <c r="AO15" s="91"/>
      <c r="AP15" s="7">
        <f t="shared" si="6"/>
        <v>11.875</v>
      </c>
    </row>
    <row r="16" spans="1:42" s="6" customFormat="1" ht="14.25" thickTop="1">
      <c r="B16" s="11"/>
      <c r="C16" s="11"/>
      <c r="D16" s="49"/>
      <c r="E16" s="13"/>
      <c r="F16" s="13"/>
      <c r="G16" s="13"/>
      <c r="H16" s="13"/>
      <c r="I16" s="13"/>
      <c r="J16" s="13"/>
      <c r="K16" s="13"/>
      <c r="L16" s="50"/>
      <c r="M16" s="5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27" s="6" customFormat="1">
      <c r="B17" s="11" t="s">
        <v>167</v>
      </c>
      <c r="C17" s="11"/>
      <c r="D17" s="49"/>
      <c r="E17" s="13"/>
      <c r="F17" s="13"/>
      <c r="G17" s="13"/>
      <c r="H17" s="13"/>
      <c r="I17" s="13"/>
      <c r="J17" s="13"/>
      <c r="K17" s="13"/>
      <c r="L17" s="50"/>
      <c r="M17" s="50"/>
      <c r="N17" s="51">
        <f t="shared" ref="N17:AA17" si="8">MAX(N3:N15)</f>
        <v>8</v>
      </c>
      <c r="O17" s="51">
        <f t="shared" si="8"/>
        <v>2</v>
      </c>
      <c r="P17" s="51">
        <f t="shared" si="8"/>
        <v>8</v>
      </c>
      <c r="Q17" s="51">
        <f t="shared" si="8"/>
        <v>4</v>
      </c>
      <c r="R17" s="51">
        <f t="shared" si="8"/>
        <v>4.7</v>
      </c>
      <c r="S17" s="51">
        <f t="shared" si="8"/>
        <v>2</v>
      </c>
      <c r="T17" s="51">
        <f t="shared" si="8"/>
        <v>7</v>
      </c>
      <c r="U17" s="51">
        <f t="shared" si="8"/>
        <v>4</v>
      </c>
      <c r="V17" s="51">
        <f t="shared" si="8"/>
        <v>2</v>
      </c>
      <c r="W17" s="51">
        <f t="shared" si="8"/>
        <v>6</v>
      </c>
      <c r="X17" s="51">
        <f t="shared" si="8"/>
        <v>4</v>
      </c>
      <c r="Y17" s="51">
        <f t="shared" si="8"/>
        <v>3</v>
      </c>
      <c r="Z17" s="51">
        <f t="shared" si="8"/>
        <v>5</v>
      </c>
      <c r="AA17" s="51">
        <f t="shared" si="8"/>
        <v>99.4</v>
      </c>
    </row>
    <row r="18" spans="2:27" s="6" customFormat="1">
      <c r="B18" s="11" t="s">
        <v>168</v>
      </c>
      <c r="C18" s="11"/>
      <c r="D18" s="49"/>
      <c r="E18" s="13"/>
      <c r="F18" s="13"/>
      <c r="G18" s="13"/>
      <c r="H18" s="13"/>
      <c r="I18" s="13"/>
      <c r="J18" s="13"/>
      <c r="K18" s="13"/>
      <c r="L18" s="50"/>
      <c r="M18" s="50"/>
      <c r="N18" s="51">
        <f t="shared" ref="N18:AA18" si="9">MIN(N3:N15)</f>
        <v>2.8</v>
      </c>
      <c r="O18" s="51">
        <f t="shared" si="9"/>
        <v>0.2</v>
      </c>
      <c r="P18" s="51">
        <f t="shared" si="9"/>
        <v>4.0999999999999996</v>
      </c>
      <c r="Q18" s="51">
        <f t="shared" si="9"/>
        <v>3.2</v>
      </c>
      <c r="R18" s="51">
        <f t="shared" si="9"/>
        <v>0.1</v>
      </c>
      <c r="S18" s="51">
        <f t="shared" si="9"/>
        <v>1</v>
      </c>
      <c r="T18" s="51">
        <f t="shared" si="9"/>
        <v>0.5</v>
      </c>
      <c r="U18" s="51">
        <f t="shared" si="9"/>
        <v>1.7</v>
      </c>
      <c r="V18" s="51">
        <f t="shared" si="9"/>
        <v>1</v>
      </c>
      <c r="W18" s="51">
        <f t="shared" si="9"/>
        <v>4.5</v>
      </c>
      <c r="X18" s="51">
        <f t="shared" si="9"/>
        <v>1.7</v>
      </c>
      <c r="Y18" s="51">
        <f t="shared" si="9"/>
        <v>2</v>
      </c>
      <c r="Z18" s="51">
        <f t="shared" si="9"/>
        <v>4.0999999999999996</v>
      </c>
      <c r="AA18" s="51">
        <f t="shared" si="9"/>
        <v>62.3</v>
      </c>
    </row>
    <row r="19" spans="2:27" s="6" customFormat="1">
      <c r="B19" s="11" t="s">
        <v>166</v>
      </c>
      <c r="C19" s="11"/>
      <c r="D19" s="49"/>
      <c r="E19" s="13"/>
      <c r="F19" s="13"/>
      <c r="G19" s="13"/>
      <c r="H19" s="13"/>
      <c r="I19" s="13"/>
      <c r="J19" s="13"/>
      <c r="K19" s="13"/>
      <c r="L19" s="50"/>
      <c r="M19" s="50"/>
      <c r="N19" s="51">
        <f t="shared" ref="N19:AA19" si="10">AVERAGE(N3:N15)</f>
        <v>7</v>
      </c>
      <c r="O19" s="51">
        <f t="shared" si="10"/>
        <v>1.7846153846153845</v>
      </c>
      <c r="P19" s="51">
        <f t="shared" si="10"/>
        <v>7.6076923076923073</v>
      </c>
      <c r="Q19" s="51">
        <f t="shared" si="10"/>
        <v>3.8461538461538463</v>
      </c>
      <c r="R19" s="51">
        <f t="shared" si="10"/>
        <v>3.4230769230769229</v>
      </c>
      <c r="S19" s="51">
        <f t="shared" si="10"/>
        <v>1.5538461538461539</v>
      </c>
      <c r="T19" s="51">
        <f t="shared" si="10"/>
        <v>4.8461538461538458</v>
      </c>
      <c r="U19" s="51">
        <f t="shared" si="10"/>
        <v>3.3153846153846156</v>
      </c>
      <c r="V19" s="51">
        <f t="shared" si="10"/>
        <v>1.6923076923076925</v>
      </c>
      <c r="W19" s="51">
        <f t="shared" si="10"/>
        <v>5.5307692307692298</v>
      </c>
      <c r="X19" s="51">
        <f t="shared" si="10"/>
        <v>3.5769230769230771</v>
      </c>
      <c r="Y19" s="51">
        <f t="shared" si="10"/>
        <v>2.8846153846153846</v>
      </c>
      <c r="Z19" s="51">
        <f t="shared" si="10"/>
        <v>4.9307692307692301</v>
      </c>
      <c r="AA19" s="51">
        <f t="shared" si="10"/>
        <v>88.876923076923077</v>
      </c>
    </row>
    <row r="20" spans="2:27" s="6" customFormat="1">
      <c r="B20" s="11" t="s">
        <v>179</v>
      </c>
      <c r="C20" s="11"/>
      <c r="D20" s="49"/>
      <c r="E20" s="13"/>
      <c r="F20" s="13"/>
      <c r="G20" s="13"/>
      <c r="H20" s="13"/>
      <c r="I20" s="13"/>
      <c r="J20" s="13"/>
      <c r="K20" s="13"/>
      <c r="L20" s="50"/>
      <c r="M20" s="50"/>
      <c r="N20" s="71">
        <f t="shared" ref="N20:AA20" si="11">N19/N2</f>
        <v>0.875</v>
      </c>
      <c r="O20" s="71">
        <f t="shared" si="11"/>
        <v>0.89230769230769225</v>
      </c>
      <c r="P20" s="71">
        <f t="shared" si="11"/>
        <v>0.95096153846153841</v>
      </c>
      <c r="Q20" s="71">
        <f t="shared" si="11"/>
        <v>0.96153846153846156</v>
      </c>
      <c r="R20" s="71">
        <f t="shared" si="11"/>
        <v>0.68461538461538463</v>
      </c>
      <c r="S20" s="71">
        <f t="shared" si="11"/>
        <v>0.77692307692307694</v>
      </c>
      <c r="T20" s="71">
        <f t="shared" si="11"/>
        <v>0.69230769230769229</v>
      </c>
      <c r="U20" s="71">
        <f t="shared" si="11"/>
        <v>0.8288461538461539</v>
      </c>
      <c r="V20" s="71">
        <f t="shared" si="11"/>
        <v>0.84615384615384626</v>
      </c>
      <c r="W20" s="71">
        <f t="shared" si="11"/>
        <v>0.92179487179487163</v>
      </c>
      <c r="X20" s="71">
        <f t="shared" si="11"/>
        <v>0.89423076923076927</v>
      </c>
      <c r="Y20" s="71">
        <f t="shared" si="11"/>
        <v>0.96153846153846156</v>
      </c>
      <c r="Z20" s="71">
        <f t="shared" si="11"/>
        <v>0.98615384615384605</v>
      </c>
      <c r="AA20" s="71">
        <f t="shared" si="11"/>
        <v>0.88876923076923076</v>
      </c>
    </row>
    <row r="21" spans="2:27" s="6" customFormat="1">
      <c r="B21" s="11"/>
      <c r="C21" s="11"/>
      <c r="D21" s="49"/>
      <c r="E21" s="13"/>
      <c r="F21" s="13"/>
      <c r="G21" s="13"/>
      <c r="H21" s="13"/>
      <c r="I21" s="13"/>
      <c r="J21" s="13"/>
      <c r="K21" s="13"/>
      <c r="L21" s="50"/>
      <c r="M21" s="50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s="6" customFormat="1">
      <c r="B22" s="11" t="s">
        <v>121</v>
      </c>
      <c r="C22" s="11"/>
      <c r="D22" s="49"/>
      <c r="E22" s="13"/>
      <c r="F22" s="13"/>
      <c r="G22" s="13"/>
      <c r="H22" s="13"/>
      <c r="I22" s="13"/>
      <c r="J22" s="13"/>
      <c r="K22" s="13"/>
      <c r="L22" s="50"/>
      <c r="M22" s="50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s="6" customFormat="1">
      <c r="B23" s="11"/>
      <c r="C23" s="11"/>
      <c r="D23" s="49"/>
      <c r="E23" s="13"/>
      <c r="F23" s="13"/>
      <c r="G23" s="13"/>
      <c r="H23" s="13"/>
      <c r="I23" s="13"/>
      <c r="J23" s="13"/>
      <c r="K23" s="13"/>
      <c r="L23" s="50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</sheetData>
  <phoneticPr fontId="2"/>
  <conditionalFormatting sqref="AI3:AI15 AP3:AP15">
    <cfRule type="cellIs" dxfId="3" priority="2" stopIfTrue="1" operator="lessThan">
      <formula>11</formula>
    </cfRule>
  </conditionalFormatting>
  <pageMargins left="0.78700000000000003" right="0.78700000000000003" top="0.98399999999999999" bottom="0.98399999999999999" header="0.51200000000000001" footer="0.51200000000000001"/>
  <pageSetup paperSize="9" scale="73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3" sqref="A23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7" style="12" bestFit="1" customWidth="1"/>
    <col min="4" max="4" width="10.25" style="12" customWidth="1"/>
    <col min="5" max="5" width="6.625" style="13" customWidth="1"/>
    <col min="6" max="7" width="7.625" style="13" customWidth="1"/>
    <col min="8" max="9" width="11.25" style="13" customWidth="1"/>
    <col min="10" max="11" width="6.625" style="13" customWidth="1"/>
    <col min="12" max="13" width="6.625" style="15" customWidth="1"/>
    <col min="14" max="28" width="6.625" customWidth="1"/>
    <col min="29" max="29" width="15.25" customWidth="1"/>
  </cols>
  <sheetData>
    <row r="1" spans="1:42" s="1" customFormat="1">
      <c r="A1" s="31" t="s">
        <v>84</v>
      </c>
      <c r="B1" s="32" t="s">
        <v>85</v>
      </c>
      <c r="C1" s="32" t="s">
        <v>225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120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4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36" t="s">
        <v>92</v>
      </c>
      <c r="AD1" s="1" t="s">
        <v>169</v>
      </c>
      <c r="AE1" s="1" t="s">
        <v>170</v>
      </c>
      <c r="AF1" s="1" t="s">
        <v>171</v>
      </c>
      <c r="AG1" s="1" t="s">
        <v>172</v>
      </c>
      <c r="AH1" s="1" t="s">
        <v>222</v>
      </c>
      <c r="AI1" s="1" t="s">
        <v>173</v>
      </c>
      <c r="AK1" s="1" t="s">
        <v>174</v>
      </c>
      <c r="AL1" s="1" t="s">
        <v>175</v>
      </c>
      <c r="AM1" s="1" t="s">
        <v>176</v>
      </c>
      <c r="AN1" s="1" t="s">
        <v>177</v>
      </c>
      <c r="AO1" s="1" t="s">
        <v>223</v>
      </c>
      <c r="AP1" s="1" t="s">
        <v>178</v>
      </c>
    </row>
    <row r="2" spans="1:42" s="2" customFormat="1">
      <c r="A2" s="37"/>
      <c r="B2" s="38" t="s">
        <v>226</v>
      </c>
      <c r="C2" s="39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>SUM(L2:Z2)</f>
        <v>100</v>
      </c>
      <c r="AB2" s="42"/>
      <c r="AC2" s="43"/>
    </row>
    <row r="3" spans="1:42">
      <c r="A3" s="3" t="s">
        <v>90</v>
      </c>
      <c r="B3" s="9" t="s">
        <v>180</v>
      </c>
      <c r="C3" s="10" t="s">
        <v>213</v>
      </c>
      <c r="D3" s="10"/>
      <c r="E3" s="16">
        <v>0.28472222222222221</v>
      </c>
      <c r="F3" s="16">
        <v>0.3096875</v>
      </c>
      <c r="G3" s="16">
        <v>0.47728009259259263</v>
      </c>
      <c r="H3" s="4">
        <v>4.1666666666666664E-2</v>
      </c>
      <c r="I3" s="4">
        <v>0.19444444444444445</v>
      </c>
      <c r="J3" s="4">
        <f>F3-E3</f>
        <v>2.4965277777777795E-2</v>
      </c>
      <c r="K3" s="4">
        <f>G3-E3</f>
        <v>0.19255787037037042</v>
      </c>
      <c r="L3" s="5">
        <f t="shared" ref="L3:L13" si="0">MAX(IF(J3-H3&gt;0,L$2-ROUND((J3-H3)*60*24*0.5,1),L$2),0)</f>
        <v>20</v>
      </c>
      <c r="M3" s="5">
        <f t="shared" ref="M3:M13" si="1">MAX(IF(K3-I3&gt;0,L$2-ROUND((K3-I3)*60*24*0.5,1),L$2),0)</f>
        <v>20</v>
      </c>
      <c r="N3" s="17">
        <v>8</v>
      </c>
      <c r="O3" s="17">
        <v>2</v>
      </c>
      <c r="P3" s="17">
        <v>8</v>
      </c>
      <c r="Q3" s="17">
        <v>4</v>
      </c>
      <c r="R3" s="17">
        <v>4.4000000000000004</v>
      </c>
      <c r="S3" s="17">
        <v>2</v>
      </c>
      <c r="T3" s="17">
        <v>5</v>
      </c>
      <c r="U3" s="17">
        <v>3.8</v>
      </c>
      <c r="V3" s="17">
        <v>1.8</v>
      </c>
      <c r="W3" s="17">
        <v>5.8</v>
      </c>
      <c r="X3" s="17">
        <v>3.5</v>
      </c>
      <c r="Y3" s="17">
        <v>3</v>
      </c>
      <c r="Z3" s="17">
        <v>5</v>
      </c>
      <c r="AA3" s="5">
        <f>SUM(L3:Z3)</f>
        <v>96.3</v>
      </c>
      <c r="AB3" s="108">
        <f>RANK(AA3,AA$3:AA$10)</f>
        <v>2</v>
      </c>
      <c r="AC3" s="17"/>
      <c r="AD3" s="91">
        <v>14.1</v>
      </c>
      <c r="AE3" s="91">
        <v>12.65</v>
      </c>
      <c r="AF3" s="91">
        <v>12.22</v>
      </c>
      <c r="AG3" s="91">
        <v>13.15</v>
      </c>
      <c r="AH3" s="91"/>
      <c r="AI3" s="7">
        <f>AVERAGE(AD3:AH3)</f>
        <v>13.03</v>
      </c>
      <c r="AK3" s="91">
        <v>13.6</v>
      </c>
      <c r="AL3" s="91">
        <v>12.05</v>
      </c>
      <c r="AM3" s="91">
        <v>12.25</v>
      </c>
      <c r="AN3" s="91">
        <v>12.9</v>
      </c>
      <c r="AO3" s="91"/>
      <c r="AP3" s="7">
        <f>AVERAGE(AK3:AO3)</f>
        <v>12.7</v>
      </c>
    </row>
    <row r="4" spans="1:42">
      <c r="A4" s="3" t="s">
        <v>90</v>
      </c>
      <c r="B4" s="9" t="s">
        <v>165</v>
      </c>
      <c r="C4" s="10" t="s">
        <v>214</v>
      </c>
      <c r="D4" s="10"/>
      <c r="E4" s="16">
        <v>0.28541666666666665</v>
      </c>
      <c r="F4" s="16">
        <v>0.32376157407407408</v>
      </c>
      <c r="G4" s="16">
        <v>0.47500000000000003</v>
      </c>
      <c r="H4" s="4">
        <v>4.1666666666666664E-2</v>
      </c>
      <c r="I4" s="4">
        <v>0.19444444444444445</v>
      </c>
      <c r="J4" s="4">
        <f>F4-E4</f>
        <v>3.8344907407407425E-2</v>
      </c>
      <c r="K4" s="4">
        <f>G4-E4</f>
        <v>0.18958333333333338</v>
      </c>
      <c r="L4" s="5">
        <f t="shared" si="0"/>
        <v>20</v>
      </c>
      <c r="M4" s="5">
        <f t="shared" si="1"/>
        <v>20</v>
      </c>
      <c r="N4" s="17">
        <v>7.8</v>
      </c>
      <c r="O4" s="17">
        <v>2</v>
      </c>
      <c r="P4" s="17">
        <v>8</v>
      </c>
      <c r="Q4" s="17">
        <v>4</v>
      </c>
      <c r="R4" s="17">
        <v>3.5</v>
      </c>
      <c r="S4" s="17">
        <v>1.9</v>
      </c>
      <c r="T4" s="17">
        <v>4.4000000000000004</v>
      </c>
      <c r="U4" s="17">
        <v>3.2</v>
      </c>
      <c r="V4" s="17">
        <v>1.6</v>
      </c>
      <c r="W4" s="17">
        <v>5.8</v>
      </c>
      <c r="X4" s="17">
        <v>3.5</v>
      </c>
      <c r="Y4" s="17">
        <v>3</v>
      </c>
      <c r="Z4" s="17">
        <v>5</v>
      </c>
      <c r="AA4" s="5">
        <f t="shared" ref="AA4:AA9" si="2">SUM(L4:Z4)</f>
        <v>93.7</v>
      </c>
      <c r="AB4" s="108">
        <f t="shared" ref="AB4:AB10" si="3">RANK(AA4,AA$3:AA$10)</f>
        <v>3</v>
      </c>
      <c r="AC4" s="17"/>
      <c r="AD4" s="91">
        <v>14.9</v>
      </c>
      <c r="AE4" s="91">
        <v>11.8</v>
      </c>
      <c r="AF4" s="91">
        <v>14.45</v>
      </c>
      <c r="AG4" s="91">
        <v>14.35</v>
      </c>
      <c r="AH4" s="91"/>
      <c r="AI4" s="7">
        <f t="shared" ref="AI4:AI24" si="4">AVERAGE(AD4:AH4)</f>
        <v>13.875000000000002</v>
      </c>
      <c r="AK4" s="91">
        <v>14.7</v>
      </c>
      <c r="AL4" s="91">
        <v>11.1</v>
      </c>
      <c r="AM4" s="91">
        <v>13.7</v>
      </c>
      <c r="AN4" s="91">
        <v>14.05</v>
      </c>
      <c r="AO4" s="91"/>
      <c r="AP4" s="7">
        <f t="shared" ref="AP4:AP24" si="5">AVERAGE(AK4:AO4)</f>
        <v>13.387499999999999</v>
      </c>
    </row>
    <row r="5" spans="1:42">
      <c r="A5" s="3" t="s">
        <v>90</v>
      </c>
      <c r="B5" s="9" t="s">
        <v>218</v>
      </c>
      <c r="C5" s="10" t="s">
        <v>241</v>
      </c>
      <c r="D5" s="10"/>
      <c r="E5" s="16">
        <v>0.28611111111111098</v>
      </c>
      <c r="F5" s="16">
        <v>0.32478009259259261</v>
      </c>
      <c r="G5" s="16">
        <v>0.4821064814814815</v>
      </c>
      <c r="H5" s="4">
        <v>4.1666666666666664E-2</v>
      </c>
      <c r="I5" s="4">
        <v>0.19444444444444445</v>
      </c>
      <c r="J5" s="4">
        <f>F5-E5</f>
        <v>3.8668981481481624E-2</v>
      </c>
      <c r="K5" s="4">
        <f>G5-E5</f>
        <v>0.19599537037037051</v>
      </c>
      <c r="L5" s="5">
        <f t="shared" si="0"/>
        <v>20</v>
      </c>
      <c r="M5" s="5">
        <f t="shared" si="1"/>
        <v>18.899999999999999</v>
      </c>
      <c r="N5" s="17">
        <v>7</v>
      </c>
      <c r="O5" s="17">
        <v>1.2</v>
      </c>
      <c r="P5" s="17">
        <v>7</v>
      </c>
      <c r="Q5" s="17">
        <v>3.8</v>
      </c>
      <c r="R5" s="17">
        <v>2.4</v>
      </c>
      <c r="S5" s="17">
        <v>1.3</v>
      </c>
      <c r="T5" s="17">
        <v>2.5</v>
      </c>
      <c r="U5" s="17">
        <v>3.4</v>
      </c>
      <c r="V5" s="17">
        <v>2</v>
      </c>
      <c r="W5" s="17">
        <v>3.7</v>
      </c>
      <c r="X5" s="17">
        <v>2.8</v>
      </c>
      <c r="Y5" s="17">
        <v>2.5</v>
      </c>
      <c r="Z5" s="17">
        <v>5</v>
      </c>
      <c r="AA5" s="5">
        <f t="shared" si="2"/>
        <v>83.5</v>
      </c>
      <c r="AB5" s="108">
        <f t="shared" si="3"/>
        <v>7</v>
      </c>
      <c r="AC5" s="17"/>
      <c r="AD5" s="91">
        <v>14</v>
      </c>
      <c r="AE5" s="91">
        <v>14.3</v>
      </c>
      <c r="AF5" s="91">
        <v>14.45</v>
      </c>
      <c r="AG5" s="91">
        <v>15.4</v>
      </c>
      <c r="AH5" s="91"/>
      <c r="AI5" s="7">
        <f t="shared" si="4"/>
        <v>14.5375</v>
      </c>
      <c r="AK5" s="91">
        <v>13.75</v>
      </c>
      <c r="AL5" s="91">
        <v>13.95</v>
      </c>
      <c r="AM5" s="91">
        <v>14.45</v>
      </c>
      <c r="AN5" s="91">
        <v>14.6</v>
      </c>
      <c r="AO5" s="91"/>
      <c r="AP5" s="7">
        <f t="shared" si="5"/>
        <v>14.1875</v>
      </c>
    </row>
    <row r="6" spans="1:42">
      <c r="A6" s="3" t="s">
        <v>90</v>
      </c>
      <c r="B6" s="9" t="s">
        <v>146</v>
      </c>
      <c r="C6" s="10" t="s">
        <v>242</v>
      </c>
      <c r="D6" s="10"/>
      <c r="E6" s="16">
        <v>0.28680555555555598</v>
      </c>
      <c r="F6" s="16">
        <v>0.31840277777777776</v>
      </c>
      <c r="G6" s="16">
        <v>0.46502314814814816</v>
      </c>
      <c r="H6" s="4">
        <v>4.1666666666666664E-2</v>
      </c>
      <c r="I6" s="4">
        <v>0.19444444444444445</v>
      </c>
      <c r="J6" s="4">
        <f>F6-E6</f>
        <v>3.1597222222221777E-2</v>
      </c>
      <c r="K6" s="4">
        <f>G6-E6</f>
        <v>0.17821759259259218</v>
      </c>
      <c r="L6" s="5">
        <f t="shared" si="0"/>
        <v>20</v>
      </c>
      <c r="M6" s="5">
        <f t="shared" si="1"/>
        <v>20</v>
      </c>
      <c r="N6" s="17">
        <v>7.5</v>
      </c>
      <c r="O6" s="17">
        <v>1.6</v>
      </c>
      <c r="P6" s="17">
        <v>7.4</v>
      </c>
      <c r="Q6" s="17">
        <v>3.8</v>
      </c>
      <c r="R6" s="17">
        <v>3.2</v>
      </c>
      <c r="S6" s="17">
        <v>1.4</v>
      </c>
      <c r="T6" s="17">
        <v>3.5</v>
      </c>
      <c r="U6" s="17">
        <v>3.2</v>
      </c>
      <c r="V6" s="17">
        <v>1.6</v>
      </c>
      <c r="W6" s="17">
        <v>5.0999999999999996</v>
      </c>
      <c r="X6" s="17">
        <v>2.6</v>
      </c>
      <c r="Y6" s="17">
        <v>3</v>
      </c>
      <c r="Z6" s="17">
        <v>5</v>
      </c>
      <c r="AA6" s="5">
        <f t="shared" si="2"/>
        <v>88.899999999999991</v>
      </c>
      <c r="AB6" s="108">
        <f t="shared" si="3"/>
        <v>4</v>
      </c>
      <c r="AC6" s="17"/>
      <c r="AD6" s="91">
        <v>10.4</v>
      </c>
      <c r="AE6" s="91">
        <v>12.35</v>
      </c>
      <c r="AF6" s="91">
        <v>11.55</v>
      </c>
      <c r="AG6" s="91">
        <v>12.4</v>
      </c>
      <c r="AH6" s="91"/>
      <c r="AI6" s="7">
        <f t="shared" si="4"/>
        <v>11.674999999999999</v>
      </c>
      <c r="AK6" s="91">
        <v>12.4</v>
      </c>
      <c r="AL6" s="91">
        <v>10.4</v>
      </c>
      <c r="AM6" s="91">
        <v>12.3</v>
      </c>
      <c r="AN6" s="91">
        <v>11.55</v>
      </c>
      <c r="AO6" s="91"/>
      <c r="AP6" s="7">
        <f t="shared" si="5"/>
        <v>11.662500000000001</v>
      </c>
    </row>
    <row r="7" spans="1:42">
      <c r="A7" s="3" t="s">
        <v>90</v>
      </c>
      <c r="B7" s="92" t="s">
        <v>227</v>
      </c>
      <c r="C7" s="73" t="s">
        <v>243</v>
      </c>
      <c r="D7" s="73"/>
      <c r="E7" s="93">
        <v>0.28749999999999998</v>
      </c>
      <c r="F7" s="93">
        <v>0.32519675925925923</v>
      </c>
      <c r="G7" s="93">
        <v>0.47412037037037041</v>
      </c>
      <c r="H7" s="94">
        <v>4.1666666666666664E-2</v>
      </c>
      <c r="I7" s="94">
        <v>0.19444444444444445</v>
      </c>
      <c r="J7" s="94">
        <f t="shared" ref="J7:J24" si="6">F7-E7</f>
        <v>3.7696759259259249E-2</v>
      </c>
      <c r="K7" s="94">
        <f t="shared" ref="K7:K24" si="7">G7-E7</f>
        <v>0.18662037037037044</v>
      </c>
      <c r="L7" s="5">
        <f t="shared" si="0"/>
        <v>20</v>
      </c>
      <c r="M7" s="5">
        <f>MAX(IF(K7-I7&gt;0,L$2-ROUND((K7-I7)*60*24*0.5,1),L$2),0)-1</f>
        <v>19</v>
      </c>
      <c r="N7" s="74">
        <v>7.8</v>
      </c>
      <c r="O7" s="74">
        <v>1.8</v>
      </c>
      <c r="P7" s="74">
        <v>7</v>
      </c>
      <c r="Q7" s="74">
        <v>4</v>
      </c>
      <c r="R7" s="74">
        <v>2.8</v>
      </c>
      <c r="S7" s="74">
        <v>1.3</v>
      </c>
      <c r="T7" s="74">
        <v>0.5</v>
      </c>
      <c r="U7" s="74">
        <v>2.6</v>
      </c>
      <c r="V7" s="74">
        <v>1.6</v>
      </c>
      <c r="W7" s="74">
        <v>5</v>
      </c>
      <c r="X7" s="74">
        <v>2.8</v>
      </c>
      <c r="Y7" s="74">
        <v>3</v>
      </c>
      <c r="Z7" s="74">
        <v>5</v>
      </c>
      <c r="AA7" s="5">
        <f t="shared" si="2"/>
        <v>84.199999999999974</v>
      </c>
      <c r="AB7" s="108">
        <f t="shared" si="3"/>
        <v>5</v>
      </c>
      <c r="AC7" s="74" t="s">
        <v>259</v>
      </c>
      <c r="AD7" s="91">
        <v>14.75</v>
      </c>
      <c r="AE7" s="91">
        <v>16.350000000000001</v>
      </c>
      <c r="AF7" s="91">
        <v>15</v>
      </c>
      <c r="AG7" s="91">
        <v>19.899999999999999</v>
      </c>
      <c r="AH7" s="91"/>
      <c r="AI7" s="7">
        <f t="shared" si="4"/>
        <v>16.5</v>
      </c>
      <c r="AK7" s="91">
        <v>14.5</v>
      </c>
      <c r="AL7" s="91">
        <v>14.5</v>
      </c>
      <c r="AM7" s="91">
        <v>16.149999999999999</v>
      </c>
      <c r="AN7" s="91">
        <v>19.850000000000001</v>
      </c>
      <c r="AO7" s="91"/>
      <c r="AP7" s="7">
        <f t="shared" si="5"/>
        <v>16.25</v>
      </c>
    </row>
    <row r="8" spans="1:42">
      <c r="A8" s="3" t="s">
        <v>90</v>
      </c>
      <c r="B8" s="92" t="s">
        <v>140</v>
      </c>
      <c r="C8" s="73" t="s">
        <v>244</v>
      </c>
      <c r="D8" s="73"/>
      <c r="E8" s="93">
        <v>0.28819444444444398</v>
      </c>
      <c r="F8" s="93">
        <v>0.32525462962962964</v>
      </c>
      <c r="G8" s="93">
        <v>0.48993055555555554</v>
      </c>
      <c r="H8" s="94">
        <v>4.1666666666666664E-2</v>
      </c>
      <c r="I8" s="94">
        <v>0.19444444444444445</v>
      </c>
      <c r="J8" s="94">
        <f t="shared" si="6"/>
        <v>3.7060185185185668E-2</v>
      </c>
      <c r="K8" s="94">
        <f t="shared" si="7"/>
        <v>0.20173611111111156</v>
      </c>
      <c r="L8" s="5">
        <f t="shared" si="0"/>
        <v>20</v>
      </c>
      <c r="M8" s="5">
        <f t="shared" si="1"/>
        <v>14.7</v>
      </c>
      <c r="N8" s="74">
        <v>6.5</v>
      </c>
      <c r="O8" s="74">
        <v>1.4</v>
      </c>
      <c r="P8" s="74">
        <v>7.8</v>
      </c>
      <c r="Q8" s="74">
        <v>4</v>
      </c>
      <c r="R8" s="74">
        <v>4</v>
      </c>
      <c r="S8" s="74">
        <v>1.9</v>
      </c>
      <c r="T8" s="74">
        <v>2</v>
      </c>
      <c r="U8" s="74">
        <v>3.4</v>
      </c>
      <c r="V8" s="74">
        <v>2</v>
      </c>
      <c r="W8" s="74">
        <v>5.3</v>
      </c>
      <c r="X8" s="74">
        <v>3.3</v>
      </c>
      <c r="Y8" s="74">
        <v>2.5</v>
      </c>
      <c r="Z8" s="74">
        <v>5</v>
      </c>
      <c r="AA8" s="5">
        <f t="shared" si="2"/>
        <v>83.8</v>
      </c>
      <c r="AB8" s="108">
        <f t="shared" si="3"/>
        <v>6</v>
      </c>
      <c r="AC8" s="74"/>
      <c r="AD8" s="91">
        <v>14.1</v>
      </c>
      <c r="AE8" s="91">
        <v>12.7</v>
      </c>
      <c r="AF8" s="91">
        <v>15.75</v>
      </c>
      <c r="AG8" s="91">
        <v>13.4</v>
      </c>
      <c r="AH8" s="91"/>
      <c r="AI8" s="7">
        <f t="shared" si="4"/>
        <v>13.987499999999999</v>
      </c>
      <c r="AK8" s="91">
        <v>13.65</v>
      </c>
      <c r="AL8" s="91">
        <v>12.35</v>
      </c>
      <c r="AM8" s="91">
        <v>15.35</v>
      </c>
      <c r="AN8" s="91">
        <v>12.95</v>
      </c>
      <c r="AO8" s="91"/>
      <c r="AP8" s="7">
        <f t="shared" si="5"/>
        <v>13.574999999999999</v>
      </c>
    </row>
    <row r="9" spans="1:42">
      <c r="A9" s="3" t="s">
        <v>90</v>
      </c>
      <c r="B9" s="92" t="s">
        <v>142</v>
      </c>
      <c r="C9" s="73" t="s">
        <v>245</v>
      </c>
      <c r="D9" s="73"/>
      <c r="E9" s="93">
        <v>0.28888888888888897</v>
      </c>
      <c r="F9" s="93">
        <v>0.31359953703703702</v>
      </c>
      <c r="G9" s="93">
        <v>0.47628472222222223</v>
      </c>
      <c r="H9" s="94">
        <v>4.1666666666666664E-2</v>
      </c>
      <c r="I9" s="94">
        <v>0.19444444444444445</v>
      </c>
      <c r="J9" s="94">
        <f t="shared" si="6"/>
        <v>2.4710648148148051E-2</v>
      </c>
      <c r="K9" s="94">
        <f t="shared" si="7"/>
        <v>0.18739583333333326</v>
      </c>
      <c r="L9" s="5">
        <f t="shared" si="0"/>
        <v>20</v>
      </c>
      <c r="M9" s="5">
        <f t="shared" si="1"/>
        <v>20</v>
      </c>
      <c r="N9" s="74">
        <v>8</v>
      </c>
      <c r="O9" s="74">
        <v>1.8</v>
      </c>
      <c r="P9" s="74">
        <v>8</v>
      </c>
      <c r="Q9" s="74">
        <v>4</v>
      </c>
      <c r="R9" s="74">
        <v>4.5</v>
      </c>
      <c r="S9" s="74">
        <v>1.6</v>
      </c>
      <c r="T9" s="74">
        <v>6</v>
      </c>
      <c r="U9" s="74">
        <v>3.8</v>
      </c>
      <c r="V9" s="74">
        <v>2</v>
      </c>
      <c r="W9" s="74">
        <v>5.6</v>
      </c>
      <c r="X9" s="74">
        <v>3.5</v>
      </c>
      <c r="Y9" s="74">
        <v>3</v>
      </c>
      <c r="Z9" s="74">
        <v>5</v>
      </c>
      <c r="AA9" s="5">
        <f t="shared" si="2"/>
        <v>96.799999999999983</v>
      </c>
      <c r="AB9" s="108">
        <f t="shared" si="3"/>
        <v>1</v>
      </c>
      <c r="AC9" s="74"/>
      <c r="AD9" s="91">
        <v>12.35</v>
      </c>
      <c r="AE9" s="91">
        <v>12.55</v>
      </c>
      <c r="AF9" s="91">
        <v>11.4</v>
      </c>
      <c r="AG9" s="91">
        <v>12.65</v>
      </c>
      <c r="AH9" s="91"/>
      <c r="AI9" s="7">
        <f t="shared" si="4"/>
        <v>12.237499999999999</v>
      </c>
      <c r="AK9" s="91">
        <v>12.4</v>
      </c>
      <c r="AL9" s="91">
        <v>12.3</v>
      </c>
      <c r="AM9" s="91">
        <v>11.4</v>
      </c>
      <c r="AN9" s="91">
        <v>12.75</v>
      </c>
      <c r="AO9" s="91"/>
      <c r="AP9" s="7">
        <f t="shared" si="5"/>
        <v>12.2125</v>
      </c>
    </row>
    <row r="10" spans="1:42" ht="14.25" thickBot="1">
      <c r="A10" s="63" t="s">
        <v>90</v>
      </c>
      <c r="B10" s="64" t="s">
        <v>183</v>
      </c>
      <c r="C10" s="65" t="s">
        <v>246</v>
      </c>
      <c r="D10" s="65"/>
      <c r="E10" s="66">
        <v>0.28958333333333303</v>
      </c>
      <c r="F10" s="66">
        <v>0.33013888888888893</v>
      </c>
      <c r="G10" s="66">
        <v>0.49219907407407404</v>
      </c>
      <c r="H10" s="67">
        <v>4.1666666666666664E-2</v>
      </c>
      <c r="I10" s="67">
        <v>0.19444444444444445</v>
      </c>
      <c r="J10" s="67">
        <f t="shared" si="6"/>
        <v>4.05555555555559E-2</v>
      </c>
      <c r="K10" s="67">
        <f t="shared" si="7"/>
        <v>0.20261574074074101</v>
      </c>
      <c r="L10" s="68">
        <f t="shared" si="0"/>
        <v>20</v>
      </c>
      <c r="M10" s="68">
        <f t="shared" si="1"/>
        <v>14.1</v>
      </c>
      <c r="N10" s="69">
        <v>6.8</v>
      </c>
      <c r="O10" s="69">
        <v>1.4</v>
      </c>
      <c r="P10" s="69">
        <v>6.8</v>
      </c>
      <c r="Q10" s="69">
        <v>3.8</v>
      </c>
      <c r="R10" s="69">
        <v>2.4</v>
      </c>
      <c r="S10" s="69">
        <v>1</v>
      </c>
      <c r="T10" s="69">
        <v>3</v>
      </c>
      <c r="U10" s="69">
        <v>2.2000000000000002</v>
      </c>
      <c r="V10" s="69">
        <v>0.8</v>
      </c>
      <c r="W10" s="69">
        <v>4.5999999999999996</v>
      </c>
      <c r="X10" s="69">
        <v>1</v>
      </c>
      <c r="Y10" s="69">
        <v>2</v>
      </c>
      <c r="Z10" s="69">
        <v>5</v>
      </c>
      <c r="AA10" s="68">
        <f>SUM(L10:Z10)</f>
        <v>74.899999999999991</v>
      </c>
      <c r="AB10" s="109">
        <f t="shared" si="3"/>
        <v>8</v>
      </c>
      <c r="AC10" s="69"/>
      <c r="AD10" s="91">
        <v>14</v>
      </c>
      <c r="AE10" s="91">
        <v>13.6</v>
      </c>
      <c r="AF10" s="91">
        <v>14.05</v>
      </c>
      <c r="AG10" s="91">
        <v>13.95</v>
      </c>
      <c r="AH10" s="91"/>
      <c r="AI10" s="7">
        <f t="shared" si="4"/>
        <v>13.900000000000002</v>
      </c>
      <c r="AK10" s="91">
        <v>13.6</v>
      </c>
      <c r="AL10" s="91">
        <v>13.25</v>
      </c>
      <c r="AM10" s="91">
        <v>13.25</v>
      </c>
      <c r="AN10" s="91">
        <v>13.05</v>
      </c>
      <c r="AO10" s="91"/>
      <c r="AP10" s="7">
        <f t="shared" si="5"/>
        <v>13.287500000000001</v>
      </c>
    </row>
    <row r="11" spans="1:42">
      <c r="A11" s="8" t="s">
        <v>239</v>
      </c>
      <c r="B11" s="18" t="s">
        <v>228</v>
      </c>
      <c r="C11" s="19" t="s">
        <v>247</v>
      </c>
      <c r="D11" s="19"/>
      <c r="E11" s="20">
        <v>0.29027777777777802</v>
      </c>
      <c r="F11" s="20">
        <v>0.32468750000000002</v>
      </c>
      <c r="G11" s="20">
        <v>0.47222222222222227</v>
      </c>
      <c r="H11" s="21">
        <v>4.1666666666666664E-2</v>
      </c>
      <c r="I11" s="21">
        <v>0.19444444444444445</v>
      </c>
      <c r="J11" s="21">
        <f t="shared" si="6"/>
        <v>3.4409722222221995E-2</v>
      </c>
      <c r="K11" s="21">
        <f t="shared" si="7"/>
        <v>0.18194444444444424</v>
      </c>
      <c r="L11" s="22">
        <f t="shared" si="0"/>
        <v>20</v>
      </c>
      <c r="M11" s="22">
        <f t="shared" si="1"/>
        <v>20</v>
      </c>
      <c r="N11" s="23">
        <v>3.5</v>
      </c>
      <c r="O11" s="23">
        <v>1.2</v>
      </c>
      <c r="P11" s="23">
        <v>7.4</v>
      </c>
      <c r="Q11" s="23">
        <v>4</v>
      </c>
      <c r="R11" s="23">
        <v>1.2</v>
      </c>
      <c r="S11" s="23">
        <v>1.2</v>
      </c>
      <c r="T11" s="23">
        <v>1.5</v>
      </c>
      <c r="U11" s="23">
        <v>1.8</v>
      </c>
      <c r="V11" s="23">
        <v>1.2</v>
      </c>
      <c r="W11" s="23">
        <v>4.2</v>
      </c>
      <c r="X11" s="23">
        <v>1.3</v>
      </c>
      <c r="Y11" s="23">
        <v>2.5</v>
      </c>
      <c r="Z11" s="23">
        <v>5</v>
      </c>
      <c r="AA11" s="22">
        <f>SUM(L11:Z11)</f>
        <v>76</v>
      </c>
      <c r="AB11" s="110">
        <f>RANK(AA11,AA$11:AA$21)</f>
        <v>9</v>
      </c>
      <c r="AC11" s="23"/>
      <c r="AD11" s="91">
        <v>12.75</v>
      </c>
      <c r="AE11" s="91">
        <v>12.05</v>
      </c>
      <c r="AF11" s="91">
        <v>11.7</v>
      </c>
      <c r="AG11" s="91"/>
      <c r="AH11" s="91"/>
      <c r="AI11" s="7">
        <f t="shared" si="4"/>
        <v>12.166666666666666</v>
      </c>
      <c r="AK11" s="91">
        <v>12.15</v>
      </c>
      <c r="AL11" s="91">
        <v>12.7</v>
      </c>
      <c r="AM11" s="91">
        <v>12.1</v>
      </c>
      <c r="AN11" s="91"/>
      <c r="AO11" s="91"/>
      <c r="AP11" s="7">
        <f t="shared" si="5"/>
        <v>12.316666666666668</v>
      </c>
    </row>
    <row r="12" spans="1:42">
      <c r="A12" s="3" t="s">
        <v>239</v>
      </c>
      <c r="B12" s="9" t="s">
        <v>229</v>
      </c>
      <c r="C12" s="10" t="s">
        <v>248</v>
      </c>
      <c r="D12" s="10"/>
      <c r="E12" s="16">
        <v>0.29097222222222202</v>
      </c>
      <c r="F12" s="16">
        <v>0.3303935185185185</v>
      </c>
      <c r="G12" s="16">
        <v>0.48306712962962961</v>
      </c>
      <c r="H12" s="4">
        <v>4.1666666666666664E-2</v>
      </c>
      <c r="I12" s="4">
        <v>0.19444444444444445</v>
      </c>
      <c r="J12" s="4">
        <f t="shared" si="6"/>
        <v>3.9421296296296482E-2</v>
      </c>
      <c r="K12" s="4">
        <f t="shared" si="7"/>
        <v>0.19209490740740759</v>
      </c>
      <c r="L12" s="5">
        <f t="shared" si="0"/>
        <v>20</v>
      </c>
      <c r="M12" s="5">
        <f t="shared" si="1"/>
        <v>20</v>
      </c>
      <c r="N12" s="17">
        <v>5.8</v>
      </c>
      <c r="O12" s="17">
        <v>1</v>
      </c>
      <c r="P12" s="17">
        <v>6.7</v>
      </c>
      <c r="Q12" s="17">
        <v>4</v>
      </c>
      <c r="R12" s="17">
        <v>3.9</v>
      </c>
      <c r="S12" s="17">
        <v>1.7</v>
      </c>
      <c r="T12" s="17">
        <v>3</v>
      </c>
      <c r="U12" s="17">
        <v>2.8</v>
      </c>
      <c r="V12" s="17">
        <v>1.8</v>
      </c>
      <c r="W12" s="17">
        <v>4</v>
      </c>
      <c r="X12" s="17">
        <v>2</v>
      </c>
      <c r="Y12" s="17">
        <v>3</v>
      </c>
      <c r="Z12" s="17">
        <v>5</v>
      </c>
      <c r="AA12" s="5">
        <f>SUM(L12:Z12)</f>
        <v>84.699999999999989</v>
      </c>
      <c r="AB12" s="108">
        <f t="shared" ref="AB12:AB21" si="8">RANK(AA12,AA$11:AA$21)</f>
        <v>7</v>
      </c>
      <c r="AC12" s="17"/>
      <c r="AD12" s="91">
        <v>12.65</v>
      </c>
      <c r="AE12" s="91">
        <v>11.35</v>
      </c>
      <c r="AF12" s="91">
        <v>12</v>
      </c>
      <c r="AG12" s="91">
        <v>12.05</v>
      </c>
      <c r="AH12" s="91"/>
      <c r="AI12" s="7">
        <f t="shared" si="4"/>
        <v>12.012499999999999</v>
      </c>
      <c r="AK12" s="91">
        <v>11.7</v>
      </c>
      <c r="AL12" s="91">
        <v>12.2</v>
      </c>
      <c r="AM12" s="91">
        <v>11.8</v>
      </c>
      <c r="AN12" s="91">
        <v>10.55</v>
      </c>
      <c r="AO12" s="91"/>
      <c r="AP12" s="7">
        <f t="shared" si="5"/>
        <v>11.5625</v>
      </c>
    </row>
    <row r="13" spans="1:42">
      <c r="A13" s="3" t="s">
        <v>239</v>
      </c>
      <c r="B13" s="9" t="s">
        <v>182</v>
      </c>
      <c r="C13" s="10" t="s">
        <v>249</v>
      </c>
      <c r="D13" s="10"/>
      <c r="E13" s="16">
        <v>0.29166666666666702</v>
      </c>
      <c r="F13" s="16">
        <v>0.31858796296296293</v>
      </c>
      <c r="G13" s="16">
        <v>0.47239583333333335</v>
      </c>
      <c r="H13" s="4">
        <v>4.1666666666666664E-2</v>
      </c>
      <c r="I13" s="4">
        <v>0.19444444444444445</v>
      </c>
      <c r="J13" s="4">
        <f t="shared" si="6"/>
        <v>2.6921296296295916E-2</v>
      </c>
      <c r="K13" s="4">
        <f t="shared" si="7"/>
        <v>0.18072916666666633</v>
      </c>
      <c r="L13" s="5">
        <f t="shared" si="0"/>
        <v>20</v>
      </c>
      <c r="M13" s="5">
        <f t="shared" si="1"/>
        <v>20</v>
      </c>
      <c r="N13" s="17">
        <v>8</v>
      </c>
      <c r="O13" s="17">
        <v>2</v>
      </c>
      <c r="P13" s="17">
        <v>8</v>
      </c>
      <c r="Q13" s="17">
        <v>4</v>
      </c>
      <c r="R13" s="17">
        <v>4.4000000000000004</v>
      </c>
      <c r="S13" s="17">
        <v>1.6</v>
      </c>
      <c r="T13" s="17">
        <v>4</v>
      </c>
      <c r="U13" s="17">
        <v>4</v>
      </c>
      <c r="V13" s="17">
        <v>2</v>
      </c>
      <c r="W13" s="17">
        <v>5.8</v>
      </c>
      <c r="X13" s="17">
        <v>3.5</v>
      </c>
      <c r="Y13" s="17">
        <v>3</v>
      </c>
      <c r="Z13" s="17">
        <v>5</v>
      </c>
      <c r="AA13" s="5">
        <f t="shared" ref="AA13:AA20" si="9">SUM(L13:Z13)</f>
        <v>95.3</v>
      </c>
      <c r="AB13" s="108">
        <f t="shared" si="8"/>
        <v>4</v>
      </c>
      <c r="AC13" s="17"/>
      <c r="AD13" s="91">
        <v>12.85</v>
      </c>
      <c r="AE13" s="91">
        <v>12.85</v>
      </c>
      <c r="AF13" s="91">
        <v>12.4</v>
      </c>
      <c r="AG13" s="91"/>
      <c r="AH13" s="91"/>
      <c r="AI13" s="7">
        <f t="shared" si="4"/>
        <v>12.700000000000001</v>
      </c>
      <c r="AK13" s="91">
        <v>12.4</v>
      </c>
      <c r="AL13" s="91">
        <v>12.85</v>
      </c>
      <c r="AM13" s="91">
        <v>12.7</v>
      </c>
      <c r="AN13" s="91"/>
      <c r="AO13" s="91"/>
      <c r="AP13" s="7">
        <f t="shared" si="5"/>
        <v>12.65</v>
      </c>
    </row>
    <row r="14" spans="1:42">
      <c r="A14" s="3" t="s">
        <v>239</v>
      </c>
      <c r="B14" s="9" t="s">
        <v>230</v>
      </c>
      <c r="C14" s="10" t="s">
        <v>250</v>
      </c>
      <c r="D14" s="10"/>
      <c r="E14" s="16">
        <v>0.29236111111111102</v>
      </c>
      <c r="F14" s="16">
        <v>0.33158564814814812</v>
      </c>
      <c r="G14" s="16">
        <v>0.47810185185185183</v>
      </c>
      <c r="H14" s="4">
        <v>4.1666666666666664E-2</v>
      </c>
      <c r="I14" s="4">
        <v>0.19444444444444445</v>
      </c>
      <c r="J14" s="4">
        <f t="shared" si="6"/>
        <v>3.9224537037037099E-2</v>
      </c>
      <c r="K14" s="4">
        <f t="shared" si="7"/>
        <v>0.18574074074074082</v>
      </c>
      <c r="L14" s="5">
        <f t="shared" ref="L14:L20" si="10">MAX(IF(J14-H14&gt;0,L$2-ROUND((J14-H14)*60*24*0.5,1),L$2),0)</f>
        <v>20</v>
      </c>
      <c r="M14" s="5">
        <f t="shared" ref="M14:M20" si="11">MAX(IF(K14-I14&gt;0,L$2-ROUND((K14-I14)*60*24*0.5,1),L$2),0)</f>
        <v>20</v>
      </c>
      <c r="N14" s="17">
        <v>8</v>
      </c>
      <c r="O14" s="17">
        <v>1.8</v>
      </c>
      <c r="P14" s="17">
        <v>7.8</v>
      </c>
      <c r="Q14" s="17">
        <v>4</v>
      </c>
      <c r="R14" s="17">
        <v>2.7</v>
      </c>
      <c r="S14" s="17">
        <v>1.5</v>
      </c>
      <c r="T14" s="17">
        <v>3.5</v>
      </c>
      <c r="U14" s="17">
        <v>2.8</v>
      </c>
      <c r="V14" s="17">
        <v>1</v>
      </c>
      <c r="W14" s="17">
        <v>5.2</v>
      </c>
      <c r="X14" s="17">
        <v>3.7</v>
      </c>
      <c r="Y14" s="17">
        <v>3</v>
      </c>
      <c r="Z14" s="17">
        <v>5</v>
      </c>
      <c r="AA14" s="5">
        <f t="shared" si="9"/>
        <v>90</v>
      </c>
      <c r="AB14" s="108">
        <f t="shared" si="8"/>
        <v>5</v>
      </c>
      <c r="AC14" s="17"/>
      <c r="AD14" s="91">
        <v>11.9</v>
      </c>
      <c r="AE14" s="91">
        <v>10.85</v>
      </c>
      <c r="AF14" s="91">
        <v>13.05</v>
      </c>
      <c r="AG14" s="91">
        <v>11.6</v>
      </c>
      <c r="AH14" s="91"/>
      <c r="AI14" s="7">
        <f t="shared" si="4"/>
        <v>11.85</v>
      </c>
      <c r="AK14" s="91">
        <v>11.55</v>
      </c>
      <c r="AL14" s="91">
        <v>13.2</v>
      </c>
      <c r="AM14" s="91">
        <v>10.3</v>
      </c>
      <c r="AN14" s="91"/>
      <c r="AO14" s="91"/>
      <c r="AP14" s="7">
        <f t="shared" si="5"/>
        <v>11.683333333333332</v>
      </c>
    </row>
    <row r="15" spans="1:42">
      <c r="A15" s="3" t="s">
        <v>239</v>
      </c>
      <c r="B15" s="9" t="s">
        <v>231</v>
      </c>
      <c r="C15" s="10" t="s">
        <v>251</v>
      </c>
      <c r="D15" s="10"/>
      <c r="E15" s="16">
        <v>0.29305555555555601</v>
      </c>
      <c r="F15" s="16">
        <v>0.32381944444444444</v>
      </c>
      <c r="G15" s="16">
        <v>0.47613425925925923</v>
      </c>
      <c r="H15" s="4">
        <v>4.1666666666666664E-2</v>
      </c>
      <c r="I15" s="4">
        <v>0.19444444444444445</v>
      </c>
      <c r="J15" s="4">
        <f t="shared" si="6"/>
        <v>3.0763888888888424E-2</v>
      </c>
      <c r="K15" s="4">
        <f t="shared" si="7"/>
        <v>0.18307870370370322</v>
      </c>
      <c r="L15" s="5">
        <f t="shared" si="10"/>
        <v>20</v>
      </c>
      <c r="M15" s="5">
        <f t="shared" si="11"/>
        <v>20</v>
      </c>
      <c r="N15" s="17">
        <v>8</v>
      </c>
      <c r="O15" s="17">
        <v>1.8</v>
      </c>
      <c r="P15" s="17">
        <v>8</v>
      </c>
      <c r="Q15" s="17">
        <v>4</v>
      </c>
      <c r="R15" s="17">
        <v>4</v>
      </c>
      <c r="S15" s="17">
        <v>1.9</v>
      </c>
      <c r="T15" s="17">
        <v>6</v>
      </c>
      <c r="U15" s="17">
        <v>3.6</v>
      </c>
      <c r="V15" s="17">
        <v>1.8</v>
      </c>
      <c r="W15" s="17">
        <v>5</v>
      </c>
      <c r="X15" s="17">
        <v>3.3</v>
      </c>
      <c r="Y15" s="17">
        <v>3</v>
      </c>
      <c r="Z15" s="17">
        <v>5</v>
      </c>
      <c r="AA15" s="5">
        <f t="shared" si="9"/>
        <v>95.399999999999991</v>
      </c>
      <c r="AB15" s="108">
        <f t="shared" si="8"/>
        <v>3</v>
      </c>
      <c r="AC15" s="17"/>
      <c r="AD15" s="91">
        <v>14.1</v>
      </c>
      <c r="AE15" s="91">
        <v>12.6</v>
      </c>
      <c r="AF15" s="91">
        <v>12.6</v>
      </c>
      <c r="AG15" s="91">
        <v>11.5</v>
      </c>
      <c r="AH15" s="91"/>
      <c r="AI15" s="7">
        <f t="shared" si="4"/>
        <v>12.7</v>
      </c>
      <c r="AK15" s="91">
        <v>11.15</v>
      </c>
      <c r="AL15" s="91">
        <v>12.15</v>
      </c>
      <c r="AM15" s="91">
        <v>13.8</v>
      </c>
      <c r="AN15" s="91">
        <v>12.4</v>
      </c>
      <c r="AO15" s="91"/>
      <c r="AP15" s="7">
        <f t="shared" si="5"/>
        <v>12.375</v>
      </c>
    </row>
    <row r="16" spans="1:42">
      <c r="A16" s="3" t="s">
        <v>239</v>
      </c>
      <c r="B16" s="9" t="s">
        <v>232</v>
      </c>
      <c r="C16" s="10" t="s">
        <v>252</v>
      </c>
      <c r="D16" s="10"/>
      <c r="E16" s="16">
        <v>0.29375000000000001</v>
      </c>
      <c r="F16" s="16">
        <v>0.34361111111111109</v>
      </c>
      <c r="G16" s="16">
        <v>0.4812731481481482</v>
      </c>
      <c r="H16" s="4">
        <v>4.1666666666666664E-2</v>
      </c>
      <c r="I16" s="4">
        <v>0.19444444444444445</v>
      </c>
      <c r="J16" s="4">
        <f t="shared" si="6"/>
        <v>4.9861111111111078E-2</v>
      </c>
      <c r="K16" s="4">
        <f t="shared" si="7"/>
        <v>0.18752314814814819</v>
      </c>
      <c r="L16" s="5">
        <f t="shared" si="10"/>
        <v>14.1</v>
      </c>
      <c r="M16" s="5">
        <f t="shared" si="11"/>
        <v>20</v>
      </c>
      <c r="N16" s="17">
        <v>5.0999999999999996</v>
      </c>
      <c r="O16" s="17">
        <v>1.2</v>
      </c>
      <c r="P16" s="17">
        <v>6.3</v>
      </c>
      <c r="Q16" s="17">
        <v>2.6</v>
      </c>
      <c r="R16" s="17">
        <v>1.1000000000000001</v>
      </c>
      <c r="S16" s="17">
        <v>1.5</v>
      </c>
      <c r="T16" s="17">
        <v>0</v>
      </c>
      <c r="U16" s="17">
        <v>1.8</v>
      </c>
      <c r="V16" s="17">
        <v>1</v>
      </c>
      <c r="W16" s="17">
        <v>3.5</v>
      </c>
      <c r="X16" s="17">
        <v>0.5</v>
      </c>
      <c r="Y16" s="17">
        <v>2.5</v>
      </c>
      <c r="Z16" s="17">
        <v>5</v>
      </c>
      <c r="AA16" s="5">
        <f t="shared" si="9"/>
        <v>66.2</v>
      </c>
      <c r="AB16" s="108">
        <f>RANK(AA16,AA$11:AA$21)</f>
        <v>10</v>
      </c>
      <c r="AC16" s="17"/>
      <c r="AD16" s="91">
        <v>12.65</v>
      </c>
      <c r="AE16" s="91">
        <v>12.9</v>
      </c>
      <c r="AF16" s="91">
        <v>18</v>
      </c>
      <c r="AG16" s="91">
        <v>9.9</v>
      </c>
      <c r="AH16" s="91"/>
      <c r="AI16" s="7">
        <f t="shared" si="4"/>
        <v>13.362499999999999</v>
      </c>
      <c r="AK16" s="91">
        <v>11.4</v>
      </c>
      <c r="AL16" s="91">
        <v>11.95</v>
      </c>
      <c r="AM16" s="91">
        <v>15</v>
      </c>
      <c r="AN16" s="91">
        <v>12.1</v>
      </c>
      <c r="AO16" s="91"/>
      <c r="AP16" s="7">
        <f t="shared" si="5"/>
        <v>12.612500000000001</v>
      </c>
    </row>
    <row r="17" spans="1:42">
      <c r="A17" s="3" t="s">
        <v>239</v>
      </c>
      <c r="B17" s="9" t="s">
        <v>233</v>
      </c>
      <c r="C17" s="10" t="s">
        <v>253</v>
      </c>
      <c r="D17" s="10"/>
      <c r="E17" s="16">
        <v>0.29444444444444401</v>
      </c>
      <c r="F17" s="16">
        <v>0.33225694444444448</v>
      </c>
      <c r="G17" s="16">
        <v>0.47370370370370374</v>
      </c>
      <c r="H17" s="4">
        <v>4.1666666666666664E-2</v>
      </c>
      <c r="I17" s="4">
        <v>0.19444444444444445</v>
      </c>
      <c r="J17" s="4">
        <f t="shared" si="6"/>
        <v>3.7812500000000471E-2</v>
      </c>
      <c r="K17" s="4">
        <f t="shared" si="7"/>
        <v>0.17925925925925973</v>
      </c>
      <c r="L17" s="5">
        <f t="shared" si="10"/>
        <v>20</v>
      </c>
      <c r="M17" s="5">
        <f>MAX(IF(K17-I17&gt;0,L$2-ROUND((K17-I17)*60*24*0.5,1),L$2),0)-1</f>
        <v>19</v>
      </c>
      <c r="N17" s="17">
        <v>8</v>
      </c>
      <c r="O17" s="17">
        <v>1.6</v>
      </c>
      <c r="P17" s="17">
        <v>7.4</v>
      </c>
      <c r="Q17" s="17">
        <v>3.6</v>
      </c>
      <c r="R17" s="17">
        <v>4</v>
      </c>
      <c r="S17" s="17">
        <v>1</v>
      </c>
      <c r="T17" s="17">
        <v>2</v>
      </c>
      <c r="U17" s="17">
        <v>2.6</v>
      </c>
      <c r="V17" s="17">
        <v>1.6</v>
      </c>
      <c r="W17" s="17">
        <v>4.2</v>
      </c>
      <c r="X17" s="17">
        <v>2.2999999999999998</v>
      </c>
      <c r="Y17" s="17">
        <v>3</v>
      </c>
      <c r="Z17" s="17">
        <v>5</v>
      </c>
      <c r="AA17" s="5">
        <f t="shared" si="9"/>
        <v>85.299999999999983</v>
      </c>
      <c r="AB17" s="108">
        <f t="shared" si="8"/>
        <v>6</v>
      </c>
      <c r="AC17" s="17" t="s">
        <v>259</v>
      </c>
      <c r="AD17" s="91">
        <v>14.1</v>
      </c>
      <c r="AE17" s="91">
        <v>15.15</v>
      </c>
      <c r="AF17" s="91">
        <v>11.85</v>
      </c>
      <c r="AG17" s="91"/>
      <c r="AH17" s="91"/>
      <c r="AI17" s="7">
        <f t="shared" si="4"/>
        <v>13.700000000000001</v>
      </c>
      <c r="AK17" s="91">
        <v>14.2</v>
      </c>
      <c r="AL17" s="91">
        <v>11.45</v>
      </c>
      <c r="AM17" s="91">
        <v>14.35</v>
      </c>
      <c r="AN17" s="91"/>
      <c r="AO17" s="91"/>
      <c r="AP17" s="7">
        <f t="shared" si="5"/>
        <v>13.333333333333334</v>
      </c>
    </row>
    <row r="18" spans="1:42">
      <c r="A18" s="3" t="s">
        <v>239</v>
      </c>
      <c r="B18" s="9" t="s">
        <v>234</v>
      </c>
      <c r="C18" s="10" t="s">
        <v>254</v>
      </c>
      <c r="D18" s="10"/>
      <c r="E18" s="16">
        <v>0.29513888888888901</v>
      </c>
      <c r="F18" s="16">
        <v>0.32150462962962961</v>
      </c>
      <c r="G18" s="16">
        <v>0.47644675925925922</v>
      </c>
      <c r="H18" s="4">
        <v>4.1666666666666664E-2</v>
      </c>
      <c r="I18" s="4">
        <v>0.19444444444444445</v>
      </c>
      <c r="J18" s="4">
        <f t="shared" si="6"/>
        <v>2.6365740740740606E-2</v>
      </c>
      <c r="K18" s="4">
        <f t="shared" si="7"/>
        <v>0.18130787037037022</v>
      </c>
      <c r="L18" s="5">
        <f t="shared" si="10"/>
        <v>20</v>
      </c>
      <c r="M18" s="5">
        <f t="shared" si="11"/>
        <v>20</v>
      </c>
      <c r="N18" s="17">
        <v>8</v>
      </c>
      <c r="O18" s="17">
        <v>2</v>
      </c>
      <c r="P18" s="17">
        <v>8</v>
      </c>
      <c r="Q18" s="17">
        <v>4</v>
      </c>
      <c r="R18" s="17">
        <v>4.4000000000000004</v>
      </c>
      <c r="S18" s="17">
        <v>1.9</v>
      </c>
      <c r="T18" s="17">
        <v>6</v>
      </c>
      <c r="U18" s="17">
        <v>3.8</v>
      </c>
      <c r="V18" s="17">
        <v>2</v>
      </c>
      <c r="W18" s="17">
        <v>6</v>
      </c>
      <c r="X18" s="17">
        <v>3.5</v>
      </c>
      <c r="Y18" s="17">
        <v>3</v>
      </c>
      <c r="Z18" s="17">
        <v>5</v>
      </c>
      <c r="AA18" s="5">
        <f t="shared" si="9"/>
        <v>97.600000000000009</v>
      </c>
      <c r="AB18" s="108">
        <f t="shared" si="8"/>
        <v>1</v>
      </c>
      <c r="AC18" s="17"/>
      <c r="AD18" s="91">
        <v>12.85</v>
      </c>
      <c r="AE18" s="91">
        <v>12.9</v>
      </c>
      <c r="AF18" s="91">
        <v>12.5</v>
      </c>
      <c r="AG18" s="91"/>
      <c r="AH18" s="91"/>
      <c r="AI18" s="7">
        <f t="shared" si="4"/>
        <v>12.75</v>
      </c>
      <c r="AK18" s="91">
        <v>12.55</v>
      </c>
      <c r="AL18" s="91">
        <v>12.9</v>
      </c>
      <c r="AM18" s="91">
        <v>12.55</v>
      </c>
      <c r="AN18" s="91"/>
      <c r="AO18" s="91"/>
      <c r="AP18" s="7">
        <f t="shared" si="5"/>
        <v>12.666666666666666</v>
      </c>
    </row>
    <row r="19" spans="1:42">
      <c r="A19" s="3" t="s">
        <v>239</v>
      </c>
      <c r="B19" s="9" t="s">
        <v>235</v>
      </c>
      <c r="C19" s="10" t="s">
        <v>255</v>
      </c>
      <c r="D19" s="10"/>
      <c r="E19" s="16">
        <v>0.295833333333333</v>
      </c>
      <c r="F19" s="16">
        <v>0.32768518518518519</v>
      </c>
      <c r="G19" s="16">
        <v>0.46921296296296294</v>
      </c>
      <c r="H19" s="4">
        <v>4.1666666666666664E-2</v>
      </c>
      <c r="I19" s="4">
        <v>0.19444444444444445</v>
      </c>
      <c r="J19" s="4">
        <f t="shared" si="6"/>
        <v>3.1851851851852186E-2</v>
      </c>
      <c r="K19" s="4">
        <f t="shared" si="7"/>
        <v>0.17337962962962994</v>
      </c>
      <c r="L19" s="5">
        <f t="shared" si="10"/>
        <v>20</v>
      </c>
      <c r="M19" s="5">
        <f t="shared" si="11"/>
        <v>20</v>
      </c>
      <c r="N19" s="17">
        <v>7.3</v>
      </c>
      <c r="O19" s="17">
        <v>0.8</v>
      </c>
      <c r="P19" s="17">
        <v>7.6</v>
      </c>
      <c r="Q19" s="17">
        <v>4</v>
      </c>
      <c r="R19" s="17">
        <v>0.9</v>
      </c>
      <c r="S19" s="17">
        <v>1.2</v>
      </c>
      <c r="T19" s="17">
        <v>3</v>
      </c>
      <c r="U19" s="17">
        <v>2.2000000000000002</v>
      </c>
      <c r="V19" s="17">
        <v>1.4</v>
      </c>
      <c r="W19" s="17">
        <v>4.8</v>
      </c>
      <c r="X19" s="17">
        <v>3</v>
      </c>
      <c r="Y19" s="17">
        <v>3</v>
      </c>
      <c r="Z19" s="17">
        <v>5</v>
      </c>
      <c r="AA19" s="5">
        <f t="shared" si="9"/>
        <v>84.2</v>
      </c>
      <c r="AB19" s="108">
        <f t="shared" si="8"/>
        <v>8</v>
      </c>
      <c r="AC19" s="17"/>
      <c r="AD19" s="91">
        <v>13.55</v>
      </c>
      <c r="AE19" s="91">
        <v>11</v>
      </c>
      <c r="AF19" s="91">
        <v>13.8</v>
      </c>
      <c r="AG19" s="91"/>
      <c r="AH19" s="91"/>
      <c r="AI19" s="7">
        <f t="shared" si="4"/>
        <v>12.783333333333333</v>
      </c>
      <c r="AK19" s="91">
        <v>13</v>
      </c>
      <c r="AL19" s="91">
        <v>10.7</v>
      </c>
      <c r="AM19" s="91">
        <v>13.55</v>
      </c>
      <c r="AN19" s="91"/>
      <c r="AO19" s="91"/>
      <c r="AP19" s="7">
        <f t="shared" si="5"/>
        <v>12.416666666666666</v>
      </c>
    </row>
    <row r="20" spans="1:42">
      <c r="A20" s="3" t="s">
        <v>239</v>
      </c>
      <c r="B20" s="9" t="s">
        <v>237</v>
      </c>
      <c r="C20" s="10" t="s">
        <v>256</v>
      </c>
      <c r="D20" s="10"/>
      <c r="E20" s="16">
        <v>0.296527777777778</v>
      </c>
      <c r="F20" s="16">
        <v>0.32746527777777779</v>
      </c>
      <c r="G20" s="16">
        <v>0.47677083333333337</v>
      </c>
      <c r="H20" s="4">
        <v>4.1666666666666664E-2</v>
      </c>
      <c r="I20" s="4">
        <v>0.19444444444444445</v>
      </c>
      <c r="J20" s="4">
        <f t="shared" si="6"/>
        <v>3.0937499999999785E-2</v>
      </c>
      <c r="K20" s="4">
        <f t="shared" si="7"/>
        <v>0.18024305555555536</v>
      </c>
      <c r="L20" s="5">
        <f t="shared" si="10"/>
        <v>20</v>
      </c>
      <c r="M20" s="5">
        <f t="shared" si="11"/>
        <v>20</v>
      </c>
      <c r="N20" s="17">
        <v>7.5</v>
      </c>
      <c r="O20" s="17">
        <v>1.6</v>
      </c>
      <c r="P20" s="17">
        <v>8</v>
      </c>
      <c r="Q20" s="17">
        <v>4</v>
      </c>
      <c r="R20" s="17">
        <v>4.3</v>
      </c>
      <c r="S20" s="17">
        <v>2</v>
      </c>
      <c r="T20" s="17">
        <v>6</v>
      </c>
      <c r="U20" s="17">
        <v>3.6</v>
      </c>
      <c r="V20" s="17">
        <v>1.8</v>
      </c>
      <c r="W20" s="17">
        <v>5.4</v>
      </c>
      <c r="X20" s="17">
        <v>3.3</v>
      </c>
      <c r="Y20" s="17">
        <v>3</v>
      </c>
      <c r="Z20" s="17">
        <v>5</v>
      </c>
      <c r="AA20" s="5">
        <f t="shared" si="9"/>
        <v>95.5</v>
      </c>
      <c r="AB20" s="108">
        <f t="shared" si="8"/>
        <v>2</v>
      </c>
      <c r="AC20" s="17"/>
      <c r="AD20" s="91">
        <v>11.95</v>
      </c>
      <c r="AE20" s="91">
        <v>10.5</v>
      </c>
      <c r="AF20" s="91">
        <v>13.2</v>
      </c>
      <c r="AG20" s="91">
        <v>9.9499999999999993</v>
      </c>
      <c r="AH20" s="91">
        <v>11.95</v>
      </c>
      <c r="AI20" s="7">
        <f t="shared" si="4"/>
        <v>11.51</v>
      </c>
      <c r="AK20" s="91">
        <v>12.3</v>
      </c>
      <c r="AL20" s="91">
        <v>12.3</v>
      </c>
      <c r="AM20" s="91">
        <v>9.85</v>
      </c>
      <c r="AN20" s="91">
        <v>12.35</v>
      </c>
      <c r="AO20" s="91">
        <v>10</v>
      </c>
      <c r="AP20" s="7">
        <f t="shared" si="5"/>
        <v>11.360000000000001</v>
      </c>
    </row>
    <row r="21" spans="1:42" ht="14.25" thickBot="1">
      <c r="A21" s="3" t="s">
        <v>239</v>
      </c>
      <c r="B21" s="9" t="s">
        <v>236</v>
      </c>
      <c r="C21" s="10" t="s">
        <v>257</v>
      </c>
      <c r="D21" s="10"/>
      <c r="E21" s="16">
        <v>0.297222222222222</v>
      </c>
      <c r="F21" s="16">
        <v>0.34616898148148145</v>
      </c>
      <c r="G21" s="16">
        <v>0.50593750000000004</v>
      </c>
      <c r="H21" s="4">
        <v>4.1666666666666664E-2</v>
      </c>
      <c r="I21" s="4">
        <v>0.19444444444444445</v>
      </c>
      <c r="J21" s="4">
        <f t="shared" si="6"/>
        <v>4.8946759259259454E-2</v>
      </c>
      <c r="K21" s="4">
        <f t="shared" si="7"/>
        <v>0.20871527777777804</v>
      </c>
      <c r="L21" s="5">
        <f>MAX(IF(J21-H21&gt;0,L$2-ROUND((J21-H21)*60*24*0.5,1),L$2),0)</f>
        <v>14.8</v>
      </c>
      <c r="M21" s="5">
        <f>MAX(IF(K21-I21&gt;0,L$2-ROUND((K21-I21)*60*24*0.5,1),L$2),0)</f>
        <v>9.6999999999999993</v>
      </c>
      <c r="N21" s="17">
        <v>4.9000000000000004</v>
      </c>
      <c r="O21" s="17">
        <v>1</v>
      </c>
      <c r="P21" s="17">
        <v>6.8</v>
      </c>
      <c r="Q21" s="17">
        <v>3.6</v>
      </c>
      <c r="R21" s="17">
        <v>2.5</v>
      </c>
      <c r="S21" s="17">
        <v>1.2</v>
      </c>
      <c r="T21" s="17">
        <v>2</v>
      </c>
      <c r="U21" s="17">
        <v>1.6</v>
      </c>
      <c r="V21" s="17">
        <v>1.2</v>
      </c>
      <c r="W21" s="17">
        <v>3.5</v>
      </c>
      <c r="X21" s="17">
        <v>0.5</v>
      </c>
      <c r="Y21" s="17">
        <v>2.2999999999999998</v>
      </c>
      <c r="Z21" s="17">
        <v>5</v>
      </c>
      <c r="AA21" s="5">
        <f>SUM(L21:Z21)</f>
        <v>60.6</v>
      </c>
      <c r="AB21" s="108">
        <f t="shared" si="8"/>
        <v>11</v>
      </c>
      <c r="AC21" s="17"/>
      <c r="AD21" s="91">
        <v>11.9</v>
      </c>
      <c r="AE21" s="91">
        <v>13.6</v>
      </c>
      <c r="AF21" s="91">
        <v>12.95</v>
      </c>
      <c r="AG21" s="91"/>
      <c r="AH21" s="91"/>
      <c r="AI21" s="7">
        <f t="shared" si="4"/>
        <v>12.816666666666668</v>
      </c>
      <c r="AK21" s="91">
        <v>12.75</v>
      </c>
      <c r="AL21" s="91">
        <v>13.7</v>
      </c>
      <c r="AM21" s="91">
        <v>12.55</v>
      </c>
      <c r="AN21" s="91"/>
      <c r="AO21" s="91"/>
      <c r="AP21" s="7">
        <f t="shared" si="5"/>
        <v>13</v>
      </c>
    </row>
    <row r="22" spans="1:42" ht="14.25" thickTop="1">
      <c r="A22" s="101" t="s">
        <v>91</v>
      </c>
      <c r="B22" s="102" t="s">
        <v>146</v>
      </c>
      <c r="C22" s="103" t="s">
        <v>197</v>
      </c>
      <c r="D22" s="103"/>
      <c r="E22" s="104">
        <v>0.297916666666667</v>
      </c>
      <c r="F22" s="104">
        <v>0.34842592592592592</v>
      </c>
      <c r="G22" s="104">
        <v>0.50067129629629636</v>
      </c>
      <c r="H22" s="105">
        <v>4.8611111111111112E-2</v>
      </c>
      <c r="I22" s="105">
        <v>0.20833333333333334</v>
      </c>
      <c r="J22" s="105">
        <f t="shared" si="6"/>
        <v>5.0509259259258921E-2</v>
      </c>
      <c r="K22" s="105">
        <f t="shared" si="7"/>
        <v>0.20275462962962937</v>
      </c>
      <c r="L22" s="106">
        <f>MAX(IF(J22-H22&gt;0,L$2-ROUND((J22-H22)*60*24*0.5,1),L$2),0)</f>
        <v>18.600000000000001</v>
      </c>
      <c r="M22" s="106">
        <f>MAX(IF(K22-I22&gt;0,L$2-ROUND((K22-I22)*60*24*0.5,1),L$2),0)</f>
        <v>20</v>
      </c>
      <c r="N22" s="107">
        <v>8</v>
      </c>
      <c r="O22" s="107">
        <v>2</v>
      </c>
      <c r="P22" s="107">
        <v>8</v>
      </c>
      <c r="Q22" s="107">
        <v>4</v>
      </c>
      <c r="R22" s="107">
        <v>4.7</v>
      </c>
      <c r="S22" s="107">
        <v>1.3</v>
      </c>
      <c r="T22" s="107">
        <v>4</v>
      </c>
      <c r="U22" s="107">
        <v>2</v>
      </c>
      <c r="V22" s="107">
        <v>1.4</v>
      </c>
      <c r="W22" s="107">
        <v>5.8</v>
      </c>
      <c r="X22" s="107">
        <v>3</v>
      </c>
      <c r="Y22" s="107">
        <v>3</v>
      </c>
      <c r="Z22" s="107">
        <v>5</v>
      </c>
      <c r="AA22" s="106">
        <f>SUM(L22:Z22)</f>
        <v>90.8</v>
      </c>
      <c r="AB22" s="111">
        <f>RANK(AA22,$AA$22:$AA$23)</f>
        <v>1</v>
      </c>
      <c r="AC22" s="107"/>
      <c r="AD22" s="91">
        <v>11.25</v>
      </c>
      <c r="AE22" s="91">
        <v>12.2</v>
      </c>
      <c r="AF22" s="91">
        <v>11.5</v>
      </c>
      <c r="AG22" s="91">
        <v>12.25</v>
      </c>
      <c r="AH22" s="91"/>
      <c r="AI22" s="7">
        <f t="shared" si="4"/>
        <v>11.8</v>
      </c>
      <c r="AK22" s="91">
        <v>11.2</v>
      </c>
      <c r="AL22" s="91">
        <v>12</v>
      </c>
      <c r="AM22" s="91">
        <v>11.55</v>
      </c>
      <c r="AN22" s="91">
        <v>11.7</v>
      </c>
      <c r="AO22" s="91"/>
      <c r="AP22" s="7">
        <f t="shared" si="5"/>
        <v>11.612500000000001</v>
      </c>
    </row>
    <row r="23" spans="1:42" ht="14.25" thickBot="1">
      <c r="A23" s="95" t="s">
        <v>240</v>
      </c>
      <c r="B23" s="96" t="s">
        <v>238</v>
      </c>
      <c r="C23" s="97" t="s">
        <v>198</v>
      </c>
      <c r="D23" s="97"/>
      <c r="E23" s="98">
        <v>0.29861111111111099</v>
      </c>
      <c r="F23" s="98">
        <v>0.34401620370370373</v>
      </c>
      <c r="G23" s="98">
        <v>0.50659722222222225</v>
      </c>
      <c r="H23" s="99">
        <v>4.8611111111111112E-2</v>
      </c>
      <c r="I23" s="99">
        <v>0.20833333333333334</v>
      </c>
      <c r="J23" s="99">
        <f t="shared" si="6"/>
        <v>4.5405092592592733E-2</v>
      </c>
      <c r="K23" s="99">
        <f t="shared" si="7"/>
        <v>0.20798611111111126</v>
      </c>
      <c r="L23" s="22">
        <f>MAX(IF(J23-H23&gt;0,L$2-ROUND((J23-H23)*60*24*0.5,1),L$2),0)-0.1</f>
        <v>19.899999999999999</v>
      </c>
      <c r="M23" s="22">
        <f>MAX(IF(K23-I23&gt;0,L$2-ROUND((K23-I23)*60*24*0.5,1),L$2),0)</f>
        <v>20</v>
      </c>
      <c r="N23" s="100">
        <v>7</v>
      </c>
      <c r="O23" s="100">
        <v>2</v>
      </c>
      <c r="P23" s="100">
        <v>7.5</v>
      </c>
      <c r="Q23" s="100">
        <v>3.6</v>
      </c>
      <c r="R23" s="100">
        <v>4</v>
      </c>
      <c r="S23" s="100">
        <v>1</v>
      </c>
      <c r="T23" s="100">
        <v>2.5</v>
      </c>
      <c r="U23" s="100">
        <v>2.2000000000000002</v>
      </c>
      <c r="V23" s="100">
        <v>1</v>
      </c>
      <c r="W23" s="100">
        <v>5</v>
      </c>
      <c r="X23" s="100">
        <v>3.7</v>
      </c>
      <c r="Y23" s="100">
        <v>2.5</v>
      </c>
      <c r="Z23" s="100">
        <v>5</v>
      </c>
      <c r="AA23" s="22">
        <f>SUM(L23:Z23)</f>
        <v>86.9</v>
      </c>
      <c r="AB23" s="110">
        <f>RANK(AA23,$AA$22:$AA$23)</f>
        <v>2</v>
      </c>
      <c r="AC23" s="100" t="s">
        <v>258</v>
      </c>
      <c r="AD23" s="91">
        <v>12.15</v>
      </c>
      <c r="AE23" s="91">
        <v>10.45</v>
      </c>
      <c r="AF23" s="91">
        <v>11.25</v>
      </c>
      <c r="AG23" s="91">
        <v>10.75</v>
      </c>
      <c r="AH23" s="91"/>
      <c r="AI23" s="7">
        <f t="shared" si="4"/>
        <v>11.15</v>
      </c>
      <c r="AK23" s="91">
        <v>10.9</v>
      </c>
      <c r="AL23" s="91">
        <v>11.05</v>
      </c>
      <c r="AM23" s="91">
        <v>10.7</v>
      </c>
      <c r="AN23" s="91">
        <v>10.95</v>
      </c>
      <c r="AO23" s="91"/>
      <c r="AP23" s="7">
        <f t="shared" si="5"/>
        <v>10.900000000000002</v>
      </c>
    </row>
    <row r="24" spans="1:42" ht="14.25" thickBot="1">
      <c r="A24" s="81" t="s">
        <v>110</v>
      </c>
      <c r="B24" s="82" t="s">
        <v>227</v>
      </c>
      <c r="C24" s="83" t="s">
        <v>210</v>
      </c>
      <c r="D24" s="83"/>
      <c r="E24" s="89">
        <v>0.29930555555555499</v>
      </c>
      <c r="F24" s="89">
        <v>0.33737268518518521</v>
      </c>
      <c r="G24" s="89">
        <v>0.47453703703703703</v>
      </c>
      <c r="H24" s="90">
        <v>4.8611111111111112E-2</v>
      </c>
      <c r="I24" s="90">
        <v>0.20833333333333334</v>
      </c>
      <c r="J24" s="90">
        <f t="shared" si="6"/>
        <v>3.8067129629630214E-2</v>
      </c>
      <c r="K24" s="90">
        <f t="shared" si="7"/>
        <v>0.17523148148148204</v>
      </c>
      <c r="L24" s="84">
        <f>MAX(IF(J24-H24&gt;0,L$2-ROUND((J24-H24)*60*24*0.5,1),L$2),0)</f>
        <v>20</v>
      </c>
      <c r="M24" s="84">
        <f>MAX(IF(K24-I24&gt;0,L$2-ROUND((K24-I24)*60*24*0.5,1),L$2),0)</f>
        <v>20</v>
      </c>
      <c r="N24" s="85">
        <v>8</v>
      </c>
      <c r="O24" s="85">
        <v>2</v>
      </c>
      <c r="P24" s="85">
        <v>8</v>
      </c>
      <c r="Q24" s="85">
        <v>4</v>
      </c>
      <c r="R24" s="85">
        <v>4.5999999999999996</v>
      </c>
      <c r="S24" s="85">
        <v>1.7</v>
      </c>
      <c r="T24" s="85">
        <v>4</v>
      </c>
      <c r="U24" s="85">
        <v>3</v>
      </c>
      <c r="V24" s="85">
        <v>1.6</v>
      </c>
      <c r="W24" s="85">
        <v>5.7</v>
      </c>
      <c r="X24" s="85">
        <v>3.8</v>
      </c>
      <c r="Y24" s="85">
        <v>3</v>
      </c>
      <c r="Z24" s="85">
        <v>5</v>
      </c>
      <c r="AA24" s="84">
        <f>SUM(L24:Z24)</f>
        <v>94.399999999999991</v>
      </c>
      <c r="AB24" s="112">
        <f>RANK(AA24,AA$24)</f>
        <v>1</v>
      </c>
      <c r="AC24" s="85"/>
      <c r="AD24" s="91">
        <v>13.3</v>
      </c>
      <c r="AE24" s="91">
        <v>9.75</v>
      </c>
      <c r="AF24" s="91">
        <v>13.15</v>
      </c>
      <c r="AG24" s="91"/>
      <c r="AH24" s="91"/>
      <c r="AI24" s="7">
        <f t="shared" si="4"/>
        <v>12.066666666666668</v>
      </c>
      <c r="AK24" s="91">
        <v>9</v>
      </c>
      <c r="AL24" s="91">
        <v>12.85</v>
      </c>
      <c r="AM24" s="91">
        <v>12.8</v>
      </c>
      <c r="AN24" s="91"/>
      <c r="AO24" s="91"/>
      <c r="AP24" s="7">
        <f t="shared" si="5"/>
        <v>11.550000000000002</v>
      </c>
    </row>
    <row r="25" spans="1:42" s="6" customFormat="1" ht="14.25" thickTop="1">
      <c r="B25" s="11"/>
      <c r="C25" s="49"/>
      <c r="D25" s="49"/>
      <c r="E25" s="13"/>
      <c r="F25" s="13"/>
      <c r="G25" s="13"/>
      <c r="H25" s="13"/>
      <c r="I25" s="13"/>
      <c r="J25" s="13"/>
      <c r="K25" s="13"/>
      <c r="L25" s="50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</row>
    <row r="26" spans="1:42" s="6" customFormat="1">
      <c r="B26" s="11" t="s">
        <v>167</v>
      </c>
      <c r="C26" s="49"/>
      <c r="D26" s="49"/>
      <c r="E26" s="13"/>
      <c r="F26" s="13"/>
      <c r="G26" s="13"/>
      <c r="H26" s="13"/>
      <c r="I26" s="13"/>
      <c r="J26" s="13"/>
      <c r="K26" s="13"/>
      <c r="L26" s="50"/>
      <c r="M26" s="50"/>
      <c r="N26" s="51">
        <f t="shared" ref="N26:AA26" si="12">MAX(N3:N24)</f>
        <v>8</v>
      </c>
      <c r="O26" s="51">
        <f t="shared" si="12"/>
        <v>2</v>
      </c>
      <c r="P26" s="51">
        <f t="shared" si="12"/>
        <v>8</v>
      </c>
      <c r="Q26" s="51">
        <f t="shared" si="12"/>
        <v>4</v>
      </c>
      <c r="R26" s="51">
        <f t="shared" si="12"/>
        <v>4.7</v>
      </c>
      <c r="S26" s="51">
        <f t="shared" si="12"/>
        <v>2</v>
      </c>
      <c r="T26" s="51">
        <f t="shared" si="12"/>
        <v>6</v>
      </c>
      <c r="U26" s="51">
        <f t="shared" si="12"/>
        <v>4</v>
      </c>
      <c r="V26" s="51">
        <f t="shared" si="12"/>
        <v>2</v>
      </c>
      <c r="W26" s="51">
        <f t="shared" si="12"/>
        <v>6</v>
      </c>
      <c r="X26" s="51">
        <f t="shared" si="12"/>
        <v>3.8</v>
      </c>
      <c r="Y26" s="51">
        <f t="shared" si="12"/>
        <v>3</v>
      </c>
      <c r="Z26" s="51">
        <f t="shared" si="12"/>
        <v>5</v>
      </c>
      <c r="AA26" s="51">
        <f t="shared" si="12"/>
        <v>97.600000000000009</v>
      </c>
      <c r="AB26" s="51"/>
    </row>
    <row r="27" spans="1:42" s="6" customFormat="1">
      <c r="B27" s="11" t="s">
        <v>168</v>
      </c>
      <c r="C27" s="49"/>
      <c r="D27" s="49"/>
      <c r="E27" s="13"/>
      <c r="F27" s="13"/>
      <c r="G27" s="13"/>
      <c r="H27" s="13"/>
      <c r="I27" s="13"/>
      <c r="J27" s="13"/>
      <c r="K27" s="13"/>
      <c r="L27" s="50"/>
      <c r="M27" s="50"/>
      <c r="N27" s="51">
        <f t="shared" ref="N27:AA27" si="13">MIN(N3:N24)</f>
        <v>3.5</v>
      </c>
      <c r="O27" s="51">
        <f t="shared" si="13"/>
        <v>0.8</v>
      </c>
      <c r="P27" s="51">
        <f t="shared" si="13"/>
        <v>6.3</v>
      </c>
      <c r="Q27" s="51">
        <f t="shared" si="13"/>
        <v>2.6</v>
      </c>
      <c r="R27" s="51">
        <f t="shared" si="13"/>
        <v>0.9</v>
      </c>
      <c r="S27" s="51">
        <f t="shared" si="13"/>
        <v>1</v>
      </c>
      <c r="T27" s="51">
        <f t="shared" si="13"/>
        <v>0</v>
      </c>
      <c r="U27" s="51">
        <f t="shared" si="13"/>
        <v>1.6</v>
      </c>
      <c r="V27" s="51">
        <f t="shared" si="13"/>
        <v>0.8</v>
      </c>
      <c r="W27" s="51">
        <f t="shared" si="13"/>
        <v>3.5</v>
      </c>
      <c r="X27" s="51">
        <f t="shared" si="13"/>
        <v>0.5</v>
      </c>
      <c r="Y27" s="51">
        <f t="shared" si="13"/>
        <v>2</v>
      </c>
      <c r="Z27" s="51">
        <f t="shared" si="13"/>
        <v>5</v>
      </c>
      <c r="AA27" s="51">
        <f t="shared" si="13"/>
        <v>60.6</v>
      </c>
      <c r="AB27" s="51"/>
    </row>
    <row r="28" spans="1:42" s="6" customFormat="1">
      <c r="B28" s="11" t="s">
        <v>166</v>
      </c>
      <c r="C28" s="49"/>
      <c r="D28" s="49"/>
      <c r="E28" s="13"/>
      <c r="F28" s="13"/>
      <c r="G28" s="13"/>
      <c r="H28" s="13"/>
      <c r="I28" s="13"/>
      <c r="J28" s="13"/>
      <c r="K28" s="13"/>
      <c r="L28" s="50"/>
      <c r="M28" s="50"/>
      <c r="N28" s="51">
        <f t="shared" ref="N28:AA28" si="14">AVERAGE(N3:N24)</f>
        <v>7.1136363636363633</v>
      </c>
      <c r="O28" s="51">
        <f t="shared" si="14"/>
        <v>1.6</v>
      </c>
      <c r="P28" s="51">
        <f t="shared" si="14"/>
        <v>7.5227272727272725</v>
      </c>
      <c r="Q28" s="51">
        <f t="shared" si="14"/>
        <v>3.8545454545454545</v>
      </c>
      <c r="R28" s="51">
        <f t="shared" si="14"/>
        <v>3.3590909090909089</v>
      </c>
      <c r="S28" s="51">
        <f t="shared" si="14"/>
        <v>1.5045454545454542</v>
      </c>
      <c r="T28" s="51">
        <f t="shared" si="14"/>
        <v>3.3818181818181823</v>
      </c>
      <c r="U28" s="51">
        <f t="shared" si="14"/>
        <v>2.8818181818181823</v>
      </c>
      <c r="V28" s="51">
        <f t="shared" si="14"/>
        <v>1.5545454545454545</v>
      </c>
      <c r="W28" s="51">
        <f t="shared" si="14"/>
        <v>4.9545454545454541</v>
      </c>
      <c r="X28" s="51">
        <f t="shared" si="14"/>
        <v>2.7454545454545451</v>
      </c>
      <c r="Y28" s="51">
        <f t="shared" si="14"/>
        <v>2.8090909090909091</v>
      </c>
      <c r="Z28" s="51">
        <f t="shared" si="14"/>
        <v>5</v>
      </c>
      <c r="AA28" s="51">
        <f t="shared" si="14"/>
        <v>86.590909090909093</v>
      </c>
      <c r="AB28" s="51"/>
    </row>
    <row r="29" spans="1:42" s="6" customFormat="1">
      <c r="B29" s="11" t="s">
        <v>179</v>
      </c>
      <c r="C29" s="49"/>
      <c r="D29" s="49"/>
      <c r="E29" s="13"/>
      <c r="F29" s="13"/>
      <c r="G29" s="13"/>
      <c r="H29" s="13"/>
      <c r="I29" s="13"/>
      <c r="J29" s="13"/>
      <c r="K29" s="13"/>
      <c r="L29" s="50"/>
      <c r="M29" s="50"/>
      <c r="N29" s="71">
        <f t="shared" ref="N29:AA29" si="15">N28/N2</f>
        <v>0.88920454545454541</v>
      </c>
      <c r="O29" s="71">
        <f t="shared" si="15"/>
        <v>0.8</v>
      </c>
      <c r="P29" s="71">
        <f t="shared" si="15"/>
        <v>0.94034090909090906</v>
      </c>
      <c r="Q29" s="71">
        <f t="shared" si="15"/>
        <v>0.96363636363636362</v>
      </c>
      <c r="R29" s="71">
        <f t="shared" si="15"/>
        <v>0.67181818181818176</v>
      </c>
      <c r="S29" s="71">
        <f>S28/S2</f>
        <v>0.75227272727272709</v>
      </c>
      <c r="T29" s="71">
        <f t="shared" si="15"/>
        <v>0.48311688311688317</v>
      </c>
      <c r="U29" s="71">
        <f t="shared" si="15"/>
        <v>0.72045454545454557</v>
      </c>
      <c r="V29" s="71">
        <f t="shared" si="15"/>
        <v>0.77727272727272723</v>
      </c>
      <c r="W29" s="71">
        <f t="shared" si="15"/>
        <v>0.82575757575757569</v>
      </c>
      <c r="X29" s="71">
        <f t="shared" si="15"/>
        <v>0.68636363636363629</v>
      </c>
      <c r="Y29" s="71">
        <f t="shared" si="15"/>
        <v>0.9363636363636364</v>
      </c>
      <c r="Z29" s="71">
        <f t="shared" si="15"/>
        <v>1</v>
      </c>
      <c r="AA29" s="71">
        <f t="shared" si="15"/>
        <v>0.86590909090909096</v>
      </c>
      <c r="AB29" s="71"/>
    </row>
    <row r="30" spans="1:42" s="6" customFormat="1">
      <c r="B30" s="11"/>
      <c r="C30" s="49"/>
      <c r="D30" s="49"/>
      <c r="E30" s="13"/>
      <c r="F30" s="13"/>
      <c r="G30" s="13"/>
      <c r="H30" s="13"/>
      <c r="I30" s="13"/>
      <c r="J30" s="13"/>
      <c r="K30" s="13"/>
      <c r="L30" s="50"/>
      <c r="M30" s="50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spans="1:42" s="6" customFormat="1">
      <c r="B31" s="11" t="s">
        <v>121</v>
      </c>
      <c r="C31" s="49"/>
      <c r="D31" s="49"/>
      <c r="E31" s="13"/>
      <c r="F31" s="13"/>
      <c r="G31" s="13"/>
      <c r="H31" s="13"/>
      <c r="I31" s="13"/>
      <c r="J31" s="13"/>
      <c r="K31" s="13"/>
      <c r="L31" s="50"/>
      <c r="M31" s="50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</row>
    <row r="32" spans="1:42" s="6" customFormat="1">
      <c r="B32" s="11"/>
      <c r="C32" s="49"/>
      <c r="D32" s="49"/>
      <c r="E32" s="13"/>
      <c r="F32" s="13"/>
      <c r="G32" s="13"/>
      <c r="H32" s="13"/>
      <c r="I32" s="13"/>
      <c r="J32" s="13"/>
      <c r="K32" s="13"/>
      <c r="L32" s="50"/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</sheetData>
  <phoneticPr fontId="2"/>
  <conditionalFormatting sqref="AI3:AI24 AP3:AP24">
    <cfRule type="cellIs" dxfId="2" priority="1" stopIfTrue="1" operator="lessThan">
      <formula>11</formula>
    </cfRule>
  </conditionalFormatting>
  <pageMargins left="0.78700000000000003" right="0.78700000000000003" top="0.98399999999999999" bottom="0.98399999999999999" header="0.51200000000000001" footer="0.51200000000000001"/>
  <pageSetup paperSize="9" scale="6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3"/>
  <sheetViews>
    <sheetView view="pageBreakPreview" zoomScaleNormal="130" zoomScaleSheetLayoutView="10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E34" sqref="E34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7" style="12" bestFit="1" customWidth="1"/>
    <col min="4" max="4" width="10.25" style="12" customWidth="1"/>
    <col min="5" max="5" width="6.625" style="13" customWidth="1"/>
    <col min="6" max="7" width="7.625" style="13" customWidth="1"/>
    <col min="8" max="11" width="6.625" style="13" customWidth="1"/>
    <col min="12" max="13" width="6.625" style="15" customWidth="1"/>
    <col min="14" max="28" width="6.625" customWidth="1"/>
    <col min="29" max="29" width="15.25" customWidth="1"/>
  </cols>
  <sheetData>
    <row r="1" spans="1:42" s="1" customFormat="1">
      <c r="A1" s="31" t="s">
        <v>84</v>
      </c>
      <c r="B1" s="32" t="s">
        <v>85</v>
      </c>
      <c r="C1" s="32" t="s">
        <v>225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119</v>
      </c>
      <c r="O1" s="36" t="s">
        <v>120</v>
      </c>
      <c r="P1" s="36" t="s">
        <v>0</v>
      </c>
      <c r="Q1" s="36" t="s">
        <v>1</v>
      </c>
      <c r="R1" s="36" t="s">
        <v>2</v>
      </c>
      <c r="S1" s="36" t="s">
        <v>139</v>
      </c>
      <c r="T1" s="36" t="s">
        <v>3</v>
      </c>
      <c r="U1" s="36" t="s">
        <v>297</v>
      </c>
      <c r="V1" s="36" t="s">
        <v>5</v>
      </c>
      <c r="W1" s="36" t="s">
        <v>6</v>
      </c>
      <c r="X1" s="36" t="s">
        <v>7</v>
      </c>
      <c r="Y1" s="36" t="s">
        <v>8</v>
      </c>
      <c r="Z1" s="36" t="s">
        <v>9</v>
      </c>
      <c r="AA1" s="35" t="s">
        <v>10</v>
      </c>
      <c r="AB1" s="35" t="s">
        <v>89</v>
      </c>
      <c r="AC1" s="36" t="s">
        <v>92</v>
      </c>
      <c r="AD1" s="1" t="s">
        <v>169</v>
      </c>
      <c r="AE1" s="1" t="s">
        <v>170</v>
      </c>
      <c r="AF1" s="1" t="s">
        <v>171</v>
      </c>
      <c r="AG1" s="1" t="s">
        <v>172</v>
      </c>
      <c r="AH1" s="1" t="s">
        <v>222</v>
      </c>
      <c r="AI1" s="1" t="s">
        <v>173</v>
      </c>
      <c r="AK1" s="1" t="s">
        <v>174</v>
      </c>
      <c r="AL1" s="1" t="s">
        <v>175</v>
      </c>
      <c r="AM1" s="1" t="s">
        <v>176</v>
      </c>
      <c r="AN1" s="1" t="s">
        <v>177</v>
      </c>
      <c r="AO1" s="1" t="s">
        <v>223</v>
      </c>
      <c r="AP1" s="1" t="s">
        <v>178</v>
      </c>
    </row>
    <row r="2" spans="1:42" s="2" customFormat="1">
      <c r="A2" s="37"/>
      <c r="B2" s="114" t="s">
        <v>298</v>
      </c>
      <c r="C2" s="39"/>
      <c r="D2" s="39"/>
      <c r="E2" s="40"/>
      <c r="F2" s="40"/>
      <c r="G2" s="40"/>
      <c r="H2" s="41"/>
      <c r="I2" s="41"/>
      <c r="J2" s="41"/>
      <c r="K2" s="41"/>
      <c r="L2" s="42">
        <v>20</v>
      </c>
      <c r="M2" s="42">
        <v>20</v>
      </c>
      <c r="N2" s="43">
        <v>8</v>
      </c>
      <c r="O2" s="43">
        <v>2</v>
      </c>
      <c r="P2" s="43">
        <v>8</v>
      </c>
      <c r="Q2" s="43">
        <v>4</v>
      </c>
      <c r="R2" s="43">
        <v>5</v>
      </c>
      <c r="S2" s="43">
        <v>2</v>
      </c>
      <c r="T2" s="43">
        <v>7</v>
      </c>
      <c r="U2" s="43">
        <v>4</v>
      </c>
      <c r="V2" s="43">
        <v>2</v>
      </c>
      <c r="W2" s="43">
        <v>6</v>
      </c>
      <c r="X2" s="43">
        <v>4</v>
      </c>
      <c r="Y2" s="43">
        <v>3</v>
      </c>
      <c r="Z2" s="43">
        <v>5</v>
      </c>
      <c r="AA2" s="42">
        <f>SUM(L2:Z2)</f>
        <v>100</v>
      </c>
      <c r="AB2" s="42"/>
      <c r="AC2" s="113">
        <v>41889</v>
      </c>
    </row>
    <row r="3" spans="1:42">
      <c r="A3" s="3" t="s">
        <v>90</v>
      </c>
      <c r="B3" s="9" t="s">
        <v>260</v>
      </c>
      <c r="C3" s="10" t="s">
        <v>213</v>
      </c>
      <c r="D3" s="10"/>
      <c r="E3" s="16">
        <v>0.26041666666666669</v>
      </c>
      <c r="F3" s="16">
        <v>0.27741898148148147</v>
      </c>
      <c r="G3" s="16">
        <v>0.46449074074074076</v>
      </c>
      <c r="H3" s="4">
        <v>2.7777777777777776E-2</v>
      </c>
      <c r="I3" s="4">
        <v>0.22916666666666666</v>
      </c>
      <c r="J3" s="4">
        <f>F3-E3</f>
        <v>1.700231481481479E-2</v>
      </c>
      <c r="K3" s="4">
        <f>G3-E3</f>
        <v>0.20407407407407407</v>
      </c>
      <c r="L3" s="5">
        <f>MAX(IF(J3-H3&gt;0,L$2-ROUND((J3-H3)*60*24*0.5,1),L$2),0)</f>
        <v>20</v>
      </c>
      <c r="M3" s="5">
        <f>MAX(IF(K3-I3&gt;0,L$2-ROUND((K3-I3)*60*24*0.5,1),L$2),0)</f>
        <v>20</v>
      </c>
      <c r="N3" s="17">
        <v>8</v>
      </c>
      <c r="O3" s="17">
        <v>2</v>
      </c>
      <c r="P3" s="17">
        <v>8</v>
      </c>
      <c r="Q3" s="17">
        <v>4</v>
      </c>
      <c r="R3" s="17">
        <v>3</v>
      </c>
      <c r="S3" s="17">
        <v>1.9</v>
      </c>
      <c r="T3" s="17">
        <v>7</v>
      </c>
      <c r="U3" s="17">
        <v>3.8</v>
      </c>
      <c r="V3" s="17">
        <v>2</v>
      </c>
      <c r="W3" s="17">
        <v>6</v>
      </c>
      <c r="X3" s="17">
        <v>4</v>
      </c>
      <c r="Y3" s="17">
        <v>3</v>
      </c>
      <c r="Z3" s="17">
        <v>5</v>
      </c>
      <c r="AA3" s="5">
        <f>SUM(L3:Z3)</f>
        <v>97.7</v>
      </c>
      <c r="AB3" s="108">
        <f>RANK(AA3,AA$3:AA$10)</f>
        <v>2</v>
      </c>
      <c r="AC3" s="17"/>
      <c r="AD3" s="30">
        <v>13.3</v>
      </c>
      <c r="AE3" s="30">
        <v>13.2</v>
      </c>
      <c r="AF3" s="30">
        <v>10.7</v>
      </c>
      <c r="AG3" s="30">
        <v>10.85</v>
      </c>
      <c r="AH3" s="30"/>
      <c r="AI3" s="115">
        <f>AVERAGE(AD3:AH3)</f>
        <v>12.012500000000001</v>
      </c>
      <c r="AK3" s="30">
        <v>13.29</v>
      </c>
      <c r="AL3" s="30">
        <v>10.72</v>
      </c>
      <c r="AM3" s="30">
        <v>10.9</v>
      </c>
      <c r="AN3" s="30">
        <v>13.32</v>
      </c>
      <c r="AO3" s="30"/>
      <c r="AP3" s="30">
        <f>AVERAGE(AK3:AO3)</f>
        <v>12.057499999999999</v>
      </c>
    </row>
    <row r="4" spans="1:42">
      <c r="A4" s="3" t="s">
        <v>90</v>
      </c>
      <c r="B4" s="9" t="s">
        <v>261</v>
      </c>
      <c r="C4" s="10" t="s">
        <v>214</v>
      </c>
      <c r="D4" s="10"/>
      <c r="E4" s="16">
        <v>0.26111111111111113</v>
      </c>
      <c r="F4" s="16">
        <v>0.28586805555555556</v>
      </c>
      <c r="G4" s="16">
        <v>0.44938657407407406</v>
      </c>
      <c r="H4" s="4">
        <v>2.7777777777777776E-2</v>
      </c>
      <c r="I4" s="4">
        <v>0.22916666666666666</v>
      </c>
      <c r="J4" s="4">
        <f t="shared" ref="J4:J35" si="0">F4-E4</f>
        <v>2.4756944444444429E-2</v>
      </c>
      <c r="K4" s="4">
        <f t="shared" ref="K4:K35" si="1">G4-E4</f>
        <v>0.18827546296296294</v>
      </c>
      <c r="L4" s="5">
        <f t="shared" ref="L4:L35" si="2">MAX(IF(J4-H4&gt;0,L$2-ROUND((J4-H4)*60*24*0.5,1),L$2),0)</f>
        <v>20</v>
      </c>
      <c r="M4" s="5">
        <f t="shared" ref="M4:M35" si="3">MAX(IF(K4-I4&gt;0,L$2-ROUND((K4-I4)*60*24*0.5,1),L$2),0)</f>
        <v>20</v>
      </c>
      <c r="N4" s="17">
        <v>4.8</v>
      </c>
      <c r="O4" s="17">
        <v>1.5</v>
      </c>
      <c r="P4" s="17">
        <v>5.0999999999999996</v>
      </c>
      <c r="Q4" s="17">
        <v>3</v>
      </c>
      <c r="R4" s="17">
        <v>1.3</v>
      </c>
      <c r="S4" s="17">
        <v>0.8</v>
      </c>
      <c r="T4" s="17">
        <v>3</v>
      </c>
      <c r="U4" s="17">
        <v>2.6</v>
      </c>
      <c r="V4" s="17">
        <v>0.6</v>
      </c>
      <c r="W4" s="17">
        <v>5.8</v>
      </c>
      <c r="X4" s="17">
        <v>2</v>
      </c>
      <c r="Y4" s="17">
        <v>2.4</v>
      </c>
      <c r="Z4" s="17">
        <v>4.9000000000000004</v>
      </c>
      <c r="AA4" s="5">
        <f t="shared" ref="AA4:AA35" si="4">SUM(L4:Z4)</f>
        <v>77.800000000000011</v>
      </c>
      <c r="AB4" s="108">
        <f t="shared" ref="AB4:AB10" si="5">RANK(AA4,AA$3:AA$10)</f>
        <v>6</v>
      </c>
      <c r="AC4" s="17"/>
      <c r="AD4" s="30">
        <v>12.85</v>
      </c>
      <c r="AE4" s="30">
        <v>10.95</v>
      </c>
      <c r="AF4" s="30">
        <v>11.5</v>
      </c>
      <c r="AG4" s="30">
        <v>11.35</v>
      </c>
      <c r="AH4" s="30"/>
      <c r="AI4" s="115">
        <f t="shared" ref="AI4:AI35" si="6">AVERAGE(AD4:AH4)</f>
        <v>11.6625</v>
      </c>
      <c r="AK4" s="30">
        <v>12.61</v>
      </c>
      <c r="AL4" s="30">
        <v>10.99</v>
      </c>
      <c r="AM4" s="30">
        <v>11.16</v>
      </c>
      <c r="AN4" s="30">
        <v>11.29</v>
      </c>
      <c r="AO4" s="30"/>
      <c r="AP4" s="30">
        <f t="shared" ref="AP4:AP35" si="7">AVERAGE(AK4:AO4)</f>
        <v>11.512500000000001</v>
      </c>
    </row>
    <row r="5" spans="1:42">
      <c r="A5" s="3" t="s">
        <v>90</v>
      </c>
      <c r="B5" s="9" t="s">
        <v>262</v>
      </c>
      <c r="C5" s="10" t="s">
        <v>241</v>
      </c>
      <c r="D5" s="10"/>
      <c r="E5" s="16">
        <v>0.26180555555555601</v>
      </c>
      <c r="F5" s="16">
        <v>0.2789699074074074</v>
      </c>
      <c r="G5" s="16">
        <v>0.4768634259259259</v>
      </c>
      <c r="H5" s="4">
        <v>2.7777777777777776E-2</v>
      </c>
      <c r="I5" s="4">
        <v>0.22916666666666666</v>
      </c>
      <c r="J5" s="4">
        <f t="shared" si="0"/>
        <v>1.7164351851851389E-2</v>
      </c>
      <c r="K5" s="4">
        <f t="shared" si="1"/>
        <v>0.21505787037036989</v>
      </c>
      <c r="L5" s="5">
        <f t="shared" si="2"/>
        <v>20</v>
      </c>
      <c r="M5" s="5">
        <f t="shared" si="3"/>
        <v>20</v>
      </c>
      <c r="N5" s="17">
        <v>8</v>
      </c>
      <c r="O5" s="17">
        <v>2</v>
      </c>
      <c r="P5" s="17">
        <v>8</v>
      </c>
      <c r="Q5" s="17">
        <v>4</v>
      </c>
      <c r="R5" s="17">
        <v>4.5999999999999996</v>
      </c>
      <c r="S5" s="17">
        <v>2</v>
      </c>
      <c r="T5" s="17">
        <v>7</v>
      </c>
      <c r="U5" s="17">
        <v>3.8</v>
      </c>
      <c r="V5" s="17">
        <v>2</v>
      </c>
      <c r="W5" s="17">
        <v>6</v>
      </c>
      <c r="X5" s="17">
        <v>4</v>
      </c>
      <c r="Y5" s="17">
        <v>3</v>
      </c>
      <c r="Z5" s="17">
        <v>5</v>
      </c>
      <c r="AA5" s="5">
        <f t="shared" si="4"/>
        <v>99.399999999999991</v>
      </c>
      <c r="AB5" s="108">
        <f t="shared" si="5"/>
        <v>1</v>
      </c>
      <c r="AC5" s="17"/>
      <c r="AD5" s="30">
        <v>12</v>
      </c>
      <c r="AE5" s="30">
        <v>11.65</v>
      </c>
      <c r="AF5" s="30">
        <v>11.8</v>
      </c>
      <c r="AG5" s="30">
        <v>12</v>
      </c>
      <c r="AH5" s="30"/>
      <c r="AI5" s="115">
        <f t="shared" si="6"/>
        <v>11.862500000000001</v>
      </c>
      <c r="AK5" s="30">
        <v>12.01</v>
      </c>
      <c r="AL5" s="30">
        <v>11.68</v>
      </c>
      <c r="AM5" s="30">
        <v>12.03</v>
      </c>
      <c r="AN5" s="30">
        <v>11.85</v>
      </c>
      <c r="AO5" s="30"/>
      <c r="AP5" s="30">
        <f t="shared" si="7"/>
        <v>11.8925</v>
      </c>
    </row>
    <row r="6" spans="1:42">
      <c r="A6" s="3" t="s">
        <v>90</v>
      </c>
      <c r="B6" s="9" t="s">
        <v>263</v>
      </c>
      <c r="C6" s="10" t="s">
        <v>242</v>
      </c>
      <c r="D6" s="10"/>
      <c r="E6" s="16">
        <v>0.26250000000000001</v>
      </c>
      <c r="F6" s="16">
        <v>0.28568287037037038</v>
      </c>
      <c r="G6" s="16">
        <v>0.4533564814814815</v>
      </c>
      <c r="H6" s="4">
        <v>2.7777777777777776E-2</v>
      </c>
      <c r="I6" s="4">
        <v>0.22916666666666666</v>
      </c>
      <c r="J6" s="4">
        <f t="shared" si="0"/>
        <v>2.3182870370370368E-2</v>
      </c>
      <c r="K6" s="4">
        <f t="shared" si="1"/>
        <v>0.19085648148148149</v>
      </c>
      <c r="L6" s="5">
        <f t="shared" si="2"/>
        <v>20</v>
      </c>
      <c r="M6" s="5">
        <f t="shared" si="3"/>
        <v>20</v>
      </c>
      <c r="N6" s="17">
        <v>4.7</v>
      </c>
      <c r="O6" s="17">
        <v>2</v>
      </c>
      <c r="P6" s="17">
        <v>0</v>
      </c>
      <c r="Q6" s="17">
        <v>4</v>
      </c>
      <c r="R6" s="17">
        <v>1.5</v>
      </c>
      <c r="S6" s="17">
        <v>1.1000000000000001</v>
      </c>
      <c r="T6" s="17">
        <v>4</v>
      </c>
      <c r="U6" s="17">
        <v>2.8</v>
      </c>
      <c r="V6" s="17">
        <v>1.8</v>
      </c>
      <c r="W6" s="17">
        <v>4.3</v>
      </c>
      <c r="X6" s="17">
        <v>3.5</v>
      </c>
      <c r="Y6" s="17">
        <v>3</v>
      </c>
      <c r="Z6" s="17">
        <v>5</v>
      </c>
      <c r="AA6" s="5">
        <f t="shared" si="4"/>
        <v>77.7</v>
      </c>
      <c r="AB6" s="108">
        <f t="shared" si="5"/>
        <v>7</v>
      </c>
      <c r="AC6" s="17"/>
      <c r="AD6" s="30">
        <v>12.55</v>
      </c>
      <c r="AE6" s="30">
        <v>14</v>
      </c>
      <c r="AF6" s="30">
        <v>13.75</v>
      </c>
      <c r="AG6" s="30">
        <v>11.25</v>
      </c>
      <c r="AH6" s="30"/>
      <c r="AI6" s="115">
        <f t="shared" si="6"/>
        <v>12.887499999999999</v>
      </c>
      <c r="AK6" s="30">
        <v>12.53</v>
      </c>
      <c r="AL6" s="30">
        <v>13.92</v>
      </c>
      <c r="AM6" s="30">
        <v>13.74</v>
      </c>
      <c r="AN6" s="30">
        <v>11.81</v>
      </c>
      <c r="AO6" s="30"/>
      <c r="AP6" s="30">
        <f t="shared" si="7"/>
        <v>13</v>
      </c>
    </row>
    <row r="7" spans="1:42">
      <c r="A7" s="3" t="s">
        <v>90</v>
      </c>
      <c r="B7" s="92" t="s">
        <v>264</v>
      </c>
      <c r="C7" s="73" t="s">
        <v>243</v>
      </c>
      <c r="D7" s="73"/>
      <c r="E7" s="93">
        <v>0.26319444444444401</v>
      </c>
      <c r="F7" s="93">
        <v>0.2857986111111111</v>
      </c>
      <c r="G7" s="93">
        <v>0.44717592592592598</v>
      </c>
      <c r="H7" s="94">
        <v>2.7777777777777776E-2</v>
      </c>
      <c r="I7" s="94">
        <v>0.22916666666666666</v>
      </c>
      <c r="J7" s="94">
        <f t="shared" si="0"/>
        <v>2.2604166666667092E-2</v>
      </c>
      <c r="K7" s="94">
        <f t="shared" si="1"/>
        <v>0.18398148148148197</v>
      </c>
      <c r="L7" s="5">
        <f t="shared" si="2"/>
        <v>20</v>
      </c>
      <c r="M7" s="5">
        <f t="shared" si="3"/>
        <v>20</v>
      </c>
      <c r="N7" s="74">
        <v>8</v>
      </c>
      <c r="O7" s="74">
        <v>1.5</v>
      </c>
      <c r="P7" s="74">
        <v>7.3</v>
      </c>
      <c r="Q7" s="74">
        <v>4</v>
      </c>
      <c r="R7" s="74">
        <v>2.6</v>
      </c>
      <c r="S7" s="74">
        <v>2</v>
      </c>
      <c r="T7" s="74">
        <v>4</v>
      </c>
      <c r="U7" s="74">
        <v>3.6</v>
      </c>
      <c r="V7" s="74">
        <v>2</v>
      </c>
      <c r="W7" s="74">
        <v>5.6</v>
      </c>
      <c r="X7" s="74">
        <v>3.5</v>
      </c>
      <c r="Y7" s="74">
        <v>3</v>
      </c>
      <c r="Z7" s="74">
        <v>5</v>
      </c>
      <c r="AA7" s="5">
        <f t="shared" si="4"/>
        <v>92.1</v>
      </c>
      <c r="AB7" s="108">
        <f t="shared" si="5"/>
        <v>5</v>
      </c>
      <c r="AC7" s="74"/>
      <c r="AD7" s="30">
        <v>13.7</v>
      </c>
      <c r="AE7" s="30">
        <v>13.9</v>
      </c>
      <c r="AF7" s="30">
        <v>14.8</v>
      </c>
      <c r="AG7" s="30">
        <v>13.55</v>
      </c>
      <c r="AH7" s="30"/>
      <c r="AI7" s="115">
        <f t="shared" si="6"/>
        <v>13.987500000000001</v>
      </c>
      <c r="AK7" s="30">
        <v>13.66</v>
      </c>
      <c r="AL7" s="30">
        <v>13.52</v>
      </c>
      <c r="AM7" s="30">
        <v>14.13</v>
      </c>
      <c r="AN7" s="30">
        <v>13.73</v>
      </c>
      <c r="AO7" s="30"/>
      <c r="AP7" s="30">
        <f t="shared" si="7"/>
        <v>13.760000000000002</v>
      </c>
    </row>
    <row r="8" spans="1:42">
      <c r="A8" s="3" t="s">
        <v>90</v>
      </c>
      <c r="B8" s="92" t="s">
        <v>265</v>
      </c>
      <c r="C8" s="73" t="s">
        <v>244</v>
      </c>
      <c r="D8" s="73"/>
      <c r="E8" s="93">
        <v>0.26388888888888901</v>
      </c>
      <c r="F8" s="93">
        <v>0.28458333333333335</v>
      </c>
      <c r="G8" s="93">
        <v>0.47498842592592588</v>
      </c>
      <c r="H8" s="94">
        <v>2.7777777777777776E-2</v>
      </c>
      <c r="I8" s="94">
        <v>0.22916666666666666</v>
      </c>
      <c r="J8" s="94">
        <f t="shared" si="0"/>
        <v>2.0694444444444349E-2</v>
      </c>
      <c r="K8" s="94">
        <f t="shared" si="1"/>
        <v>0.21109953703703688</v>
      </c>
      <c r="L8" s="5">
        <f t="shared" si="2"/>
        <v>20</v>
      </c>
      <c r="M8" s="5">
        <f t="shared" si="3"/>
        <v>20</v>
      </c>
      <c r="N8" s="74">
        <v>8</v>
      </c>
      <c r="O8" s="74">
        <v>2</v>
      </c>
      <c r="P8" s="74">
        <v>8</v>
      </c>
      <c r="Q8" s="74">
        <v>4</v>
      </c>
      <c r="R8" s="74">
        <v>3.5</v>
      </c>
      <c r="S8" s="74">
        <v>1.5</v>
      </c>
      <c r="T8" s="74">
        <v>7</v>
      </c>
      <c r="U8" s="74">
        <v>3.8</v>
      </c>
      <c r="V8" s="74">
        <v>1.8</v>
      </c>
      <c r="W8" s="74">
        <v>5.8</v>
      </c>
      <c r="X8" s="74">
        <v>3</v>
      </c>
      <c r="Y8" s="74">
        <v>3</v>
      </c>
      <c r="Z8" s="74">
        <v>5</v>
      </c>
      <c r="AA8" s="5">
        <f t="shared" si="4"/>
        <v>96.399999999999991</v>
      </c>
      <c r="AB8" s="108">
        <f t="shared" si="5"/>
        <v>3</v>
      </c>
      <c r="AC8" s="74"/>
      <c r="AD8" s="30">
        <v>14.55</v>
      </c>
      <c r="AE8" s="30">
        <v>12.1</v>
      </c>
      <c r="AF8" s="30">
        <v>15.45</v>
      </c>
      <c r="AG8" s="30">
        <v>12.7</v>
      </c>
      <c r="AH8" s="30"/>
      <c r="AI8" s="115">
        <f t="shared" si="6"/>
        <v>13.7</v>
      </c>
      <c r="AK8" s="30">
        <v>14.51</v>
      </c>
      <c r="AL8" s="30">
        <v>12.12</v>
      </c>
      <c r="AM8" s="30">
        <v>15.59</v>
      </c>
      <c r="AN8" s="30">
        <v>12.7</v>
      </c>
      <c r="AO8" s="30"/>
      <c r="AP8" s="30">
        <f t="shared" si="7"/>
        <v>13.73</v>
      </c>
    </row>
    <row r="9" spans="1:42">
      <c r="A9" s="3" t="s">
        <v>90</v>
      </c>
      <c r="B9" s="92" t="s">
        <v>266</v>
      </c>
      <c r="C9" s="73" t="s">
        <v>245</v>
      </c>
      <c r="D9" s="73"/>
      <c r="E9" s="93">
        <v>0.264583333333333</v>
      </c>
      <c r="F9" s="93">
        <v>0.28592592592592592</v>
      </c>
      <c r="G9" s="93">
        <v>0.43953703703703706</v>
      </c>
      <c r="H9" s="94">
        <v>2.7777777777777776E-2</v>
      </c>
      <c r="I9" s="94">
        <v>0.22916666666666666</v>
      </c>
      <c r="J9" s="94">
        <f t="shared" si="0"/>
        <v>2.1342592592592913E-2</v>
      </c>
      <c r="K9" s="94">
        <f t="shared" si="1"/>
        <v>0.17495370370370406</v>
      </c>
      <c r="L9" s="5">
        <f t="shared" si="2"/>
        <v>20</v>
      </c>
      <c r="M9" s="5">
        <f t="shared" si="3"/>
        <v>20</v>
      </c>
      <c r="N9" s="74">
        <v>8</v>
      </c>
      <c r="O9" s="74">
        <v>2</v>
      </c>
      <c r="P9" s="74">
        <v>7.5</v>
      </c>
      <c r="Q9" s="74">
        <v>4</v>
      </c>
      <c r="R9" s="74">
        <v>1.9</v>
      </c>
      <c r="S9" s="74">
        <v>1.7</v>
      </c>
      <c r="T9" s="74">
        <v>6</v>
      </c>
      <c r="U9" s="74">
        <v>2.8</v>
      </c>
      <c r="V9" s="74">
        <v>2</v>
      </c>
      <c r="W9" s="74">
        <v>6</v>
      </c>
      <c r="X9" s="74">
        <v>3.5</v>
      </c>
      <c r="Y9" s="74">
        <v>3</v>
      </c>
      <c r="Z9" s="74">
        <v>5</v>
      </c>
      <c r="AA9" s="5">
        <f t="shared" si="4"/>
        <v>93.399999999999991</v>
      </c>
      <c r="AB9" s="108">
        <f t="shared" si="5"/>
        <v>4</v>
      </c>
      <c r="AC9" s="74"/>
      <c r="AD9" s="30">
        <v>10.75</v>
      </c>
      <c r="AE9" s="30">
        <v>11.35</v>
      </c>
      <c r="AF9" s="30">
        <v>10.75</v>
      </c>
      <c r="AG9" s="30">
        <v>12.65</v>
      </c>
      <c r="AH9" s="30"/>
      <c r="AI9" s="115">
        <f t="shared" si="6"/>
        <v>11.375</v>
      </c>
      <c r="AK9" s="30">
        <v>12.7</v>
      </c>
      <c r="AL9" s="30">
        <v>10.66</v>
      </c>
      <c r="AM9" s="30">
        <v>11.32</v>
      </c>
      <c r="AN9" s="30">
        <v>10.75</v>
      </c>
      <c r="AO9" s="30"/>
      <c r="AP9" s="30">
        <f t="shared" si="7"/>
        <v>11.3575</v>
      </c>
    </row>
    <row r="10" spans="1:42" ht="14.25" thickBot="1">
      <c r="A10" s="63" t="s">
        <v>90</v>
      </c>
      <c r="B10" s="64" t="s">
        <v>267</v>
      </c>
      <c r="C10" s="65" t="s">
        <v>246</v>
      </c>
      <c r="D10" s="65"/>
      <c r="E10" s="66">
        <v>0.265277777777778</v>
      </c>
      <c r="F10" s="66">
        <v>0.2905787037037037</v>
      </c>
      <c r="G10" s="66">
        <v>0.46299768518518519</v>
      </c>
      <c r="H10" s="67">
        <v>2.7777777777777776E-2</v>
      </c>
      <c r="I10" s="67">
        <v>0.22916666666666666</v>
      </c>
      <c r="J10" s="67">
        <f t="shared" si="0"/>
        <v>2.5300925925925699E-2</v>
      </c>
      <c r="K10" s="67">
        <f t="shared" si="1"/>
        <v>0.19771990740740719</v>
      </c>
      <c r="L10" s="68">
        <f t="shared" si="2"/>
        <v>20</v>
      </c>
      <c r="M10" s="68">
        <f t="shared" si="3"/>
        <v>20</v>
      </c>
      <c r="N10" s="69">
        <v>5.3</v>
      </c>
      <c r="O10" s="69">
        <v>1.5</v>
      </c>
      <c r="P10" s="69">
        <v>4</v>
      </c>
      <c r="Q10" s="69">
        <v>4</v>
      </c>
      <c r="R10" s="69">
        <v>0.4</v>
      </c>
      <c r="S10" s="69">
        <v>1.8</v>
      </c>
      <c r="T10" s="69">
        <v>4</v>
      </c>
      <c r="U10" s="69">
        <v>2.2000000000000002</v>
      </c>
      <c r="V10" s="69">
        <v>1</v>
      </c>
      <c r="W10" s="69">
        <v>3.2</v>
      </c>
      <c r="X10" s="69">
        <v>2</v>
      </c>
      <c r="Y10" s="69">
        <v>2.4</v>
      </c>
      <c r="Z10" s="69">
        <v>5</v>
      </c>
      <c r="AA10" s="68">
        <f t="shared" si="4"/>
        <v>76.8</v>
      </c>
      <c r="AB10" s="109">
        <f t="shared" si="5"/>
        <v>8</v>
      </c>
      <c r="AC10" s="69"/>
      <c r="AD10" s="30">
        <v>16.600000000000001</v>
      </c>
      <c r="AE10" s="30">
        <v>11.7</v>
      </c>
      <c r="AF10" s="30">
        <v>12.8</v>
      </c>
      <c r="AG10" s="30">
        <v>15.85</v>
      </c>
      <c r="AH10" s="30"/>
      <c r="AI10" s="115">
        <f t="shared" si="6"/>
        <v>14.237500000000001</v>
      </c>
      <c r="AK10" s="30">
        <v>15.73</v>
      </c>
      <c r="AL10" s="30">
        <v>11.4</v>
      </c>
      <c r="AM10" s="30">
        <v>12.8</v>
      </c>
      <c r="AN10" s="30">
        <v>15.82</v>
      </c>
      <c r="AO10" s="30"/>
      <c r="AP10" s="30">
        <f t="shared" si="7"/>
        <v>13.937500000000002</v>
      </c>
    </row>
    <row r="11" spans="1:42">
      <c r="A11" s="8" t="s">
        <v>93</v>
      </c>
      <c r="B11" s="18" t="s">
        <v>271</v>
      </c>
      <c r="C11" s="19" t="s">
        <v>247</v>
      </c>
      <c r="D11" s="19"/>
      <c r="E11" s="20">
        <v>0.265972222222222</v>
      </c>
      <c r="F11" s="20">
        <v>0.28986111111111112</v>
      </c>
      <c r="G11" s="20">
        <v>0.45034722222222223</v>
      </c>
      <c r="H11" s="21">
        <v>2.7777777777777776E-2</v>
      </c>
      <c r="I11" s="21">
        <v>0.22916666666666666</v>
      </c>
      <c r="J11" s="21">
        <f t="shared" si="0"/>
        <v>2.3888888888889126E-2</v>
      </c>
      <c r="K11" s="21">
        <f t="shared" si="1"/>
        <v>0.18437500000000023</v>
      </c>
      <c r="L11" s="22">
        <f t="shared" si="2"/>
        <v>20</v>
      </c>
      <c r="M11" s="22">
        <f t="shared" si="3"/>
        <v>20</v>
      </c>
      <c r="N11" s="23">
        <v>6.7</v>
      </c>
      <c r="O11" s="23">
        <v>2</v>
      </c>
      <c r="P11" s="23">
        <v>7</v>
      </c>
      <c r="Q11" s="23">
        <v>3</v>
      </c>
      <c r="R11" s="23">
        <v>1.3</v>
      </c>
      <c r="S11" s="23">
        <v>1.3</v>
      </c>
      <c r="T11" s="23">
        <v>6</v>
      </c>
      <c r="U11" s="23">
        <v>2.8</v>
      </c>
      <c r="V11" s="23">
        <v>1.4</v>
      </c>
      <c r="W11" s="23">
        <v>5.4</v>
      </c>
      <c r="X11" s="23">
        <v>2.5</v>
      </c>
      <c r="Y11" s="23">
        <v>3</v>
      </c>
      <c r="Z11" s="23">
        <v>5</v>
      </c>
      <c r="AA11" s="22">
        <f t="shared" si="4"/>
        <v>87.4</v>
      </c>
      <c r="AB11" s="110">
        <f>RANK(AA11,AA$11:AA$25)</f>
        <v>9</v>
      </c>
      <c r="AC11" s="23"/>
      <c r="AD11" s="30">
        <v>12.95</v>
      </c>
      <c r="AE11" s="30">
        <v>11.75</v>
      </c>
      <c r="AF11" s="30">
        <v>14.15</v>
      </c>
      <c r="AG11" s="30">
        <v>11.9</v>
      </c>
      <c r="AH11" s="30"/>
      <c r="AI11" s="115">
        <f t="shared" si="6"/>
        <v>12.6875</v>
      </c>
      <c r="AK11" s="30">
        <v>13.53</v>
      </c>
      <c r="AL11" s="30">
        <v>11.73</v>
      </c>
      <c r="AM11" s="30">
        <v>11.89</v>
      </c>
      <c r="AN11" s="30">
        <v>14.23</v>
      </c>
      <c r="AO11" s="30"/>
      <c r="AP11" s="30">
        <f t="shared" si="7"/>
        <v>12.844999999999999</v>
      </c>
    </row>
    <row r="12" spans="1:42">
      <c r="A12" s="3" t="s">
        <v>93</v>
      </c>
      <c r="B12" s="9" t="s">
        <v>272</v>
      </c>
      <c r="C12" s="10" t="s">
        <v>248</v>
      </c>
      <c r="D12" s="10"/>
      <c r="E12" s="16">
        <v>0.266666666666667</v>
      </c>
      <c r="F12" s="16">
        <v>0.28733796296296293</v>
      </c>
      <c r="G12" s="16">
        <v>0.4715509259259259</v>
      </c>
      <c r="H12" s="4">
        <v>2.7777777777777776E-2</v>
      </c>
      <c r="I12" s="4">
        <v>0.22916666666666666</v>
      </c>
      <c r="J12" s="4">
        <f t="shared" si="0"/>
        <v>2.0671296296295938E-2</v>
      </c>
      <c r="K12" s="4">
        <f t="shared" si="1"/>
        <v>0.20488425925925891</v>
      </c>
      <c r="L12" s="5">
        <f t="shared" si="2"/>
        <v>20</v>
      </c>
      <c r="M12" s="5">
        <f t="shared" si="3"/>
        <v>20</v>
      </c>
      <c r="N12" s="17">
        <v>8</v>
      </c>
      <c r="O12" s="17">
        <v>2</v>
      </c>
      <c r="P12" s="17">
        <v>8</v>
      </c>
      <c r="Q12" s="17">
        <v>4</v>
      </c>
      <c r="R12" s="17">
        <v>4.7</v>
      </c>
      <c r="S12" s="17">
        <v>1.9</v>
      </c>
      <c r="T12" s="17">
        <v>7</v>
      </c>
      <c r="U12" s="17">
        <v>3.8</v>
      </c>
      <c r="V12" s="17">
        <v>2</v>
      </c>
      <c r="W12" s="17">
        <v>5.8</v>
      </c>
      <c r="X12" s="17">
        <v>4</v>
      </c>
      <c r="Y12" s="17">
        <v>2.4</v>
      </c>
      <c r="Z12" s="17">
        <v>4.5</v>
      </c>
      <c r="AA12" s="5">
        <f t="shared" si="4"/>
        <v>98.100000000000009</v>
      </c>
      <c r="AB12" s="108">
        <f t="shared" ref="AB12:AB25" si="8">RANK(AA12,AA$11:AA$25)</f>
        <v>2</v>
      </c>
      <c r="AC12" s="17"/>
      <c r="AD12" s="30">
        <v>12.65</v>
      </c>
      <c r="AE12" s="30">
        <v>12.5</v>
      </c>
      <c r="AF12" s="30">
        <v>15.4</v>
      </c>
      <c r="AG12" s="30">
        <v>12.5</v>
      </c>
      <c r="AH12" s="30"/>
      <c r="AI12" s="115">
        <f t="shared" si="6"/>
        <v>13.262499999999999</v>
      </c>
      <c r="AK12" s="30">
        <v>12.46</v>
      </c>
      <c r="AL12" s="30">
        <v>11.71</v>
      </c>
      <c r="AM12" s="30">
        <v>13.16</v>
      </c>
      <c r="AN12" s="30">
        <v>14.55</v>
      </c>
      <c r="AO12" s="30"/>
      <c r="AP12" s="30">
        <f t="shared" si="7"/>
        <v>12.969999999999999</v>
      </c>
    </row>
    <row r="13" spans="1:42">
      <c r="A13" s="3" t="s">
        <v>93</v>
      </c>
      <c r="B13" s="9" t="s">
        <v>273</v>
      </c>
      <c r="C13" s="19" t="s">
        <v>249</v>
      </c>
      <c r="D13" s="10"/>
      <c r="E13" s="16">
        <v>0.26736111111111099</v>
      </c>
      <c r="F13" s="16">
        <v>0.29334490740740743</v>
      </c>
      <c r="G13" s="16">
        <v>0.46858796296296296</v>
      </c>
      <c r="H13" s="4">
        <v>2.7777777777777776E-2</v>
      </c>
      <c r="I13" s="4">
        <v>0.22916666666666666</v>
      </c>
      <c r="J13" s="4">
        <f t="shared" si="0"/>
        <v>2.5983796296296435E-2</v>
      </c>
      <c r="K13" s="4">
        <f t="shared" si="1"/>
        <v>0.20122685185185196</v>
      </c>
      <c r="L13" s="5">
        <f t="shared" si="2"/>
        <v>20</v>
      </c>
      <c r="M13" s="5">
        <f t="shared" si="3"/>
        <v>20</v>
      </c>
      <c r="N13" s="17">
        <v>5</v>
      </c>
      <c r="O13" s="17">
        <v>1</v>
      </c>
      <c r="P13" s="17">
        <v>7.5</v>
      </c>
      <c r="Q13" s="17">
        <v>4</v>
      </c>
      <c r="R13" s="17">
        <v>1</v>
      </c>
      <c r="S13" s="17">
        <v>1.6</v>
      </c>
      <c r="T13" s="17">
        <v>5</v>
      </c>
      <c r="U13" s="17">
        <v>2.8</v>
      </c>
      <c r="V13" s="17">
        <v>1.4</v>
      </c>
      <c r="W13" s="17">
        <v>5</v>
      </c>
      <c r="X13" s="17">
        <v>2.5</v>
      </c>
      <c r="Y13" s="17">
        <v>2.4</v>
      </c>
      <c r="Z13" s="17">
        <v>4.4000000000000004</v>
      </c>
      <c r="AA13" s="5">
        <f t="shared" si="4"/>
        <v>83.600000000000009</v>
      </c>
      <c r="AB13" s="108">
        <f t="shared" si="8"/>
        <v>11</v>
      </c>
      <c r="AC13" s="17"/>
      <c r="AD13" s="30">
        <v>13.6</v>
      </c>
      <c r="AE13" s="30">
        <v>13.5</v>
      </c>
      <c r="AF13" s="30">
        <v>16.75</v>
      </c>
      <c r="AG13" s="30">
        <v>11.4</v>
      </c>
      <c r="AH13" s="30"/>
      <c r="AI13" s="115">
        <f t="shared" si="6"/>
        <v>13.8125</v>
      </c>
      <c r="AK13" s="30">
        <v>13.65</v>
      </c>
      <c r="AL13" s="30">
        <v>14.75</v>
      </c>
      <c r="AM13" s="30">
        <v>17.760000000000002</v>
      </c>
      <c r="AN13" s="30">
        <v>9.9600000000000009</v>
      </c>
      <c r="AO13" s="30"/>
      <c r="AP13" s="30">
        <f t="shared" si="7"/>
        <v>14.03</v>
      </c>
    </row>
    <row r="14" spans="1:42">
      <c r="A14" s="3" t="s">
        <v>93</v>
      </c>
      <c r="B14" s="9" t="s">
        <v>274</v>
      </c>
      <c r="C14" s="10" t="s">
        <v>250</v>
      </c>
      <c r="D14" s="10"/>
      <c r="E14" s="16">
        <v>0.26805555555555599</v>
      </c>
      <c r="F14" s="16">
        <v>0.28997685185185185</v>
      </c>
      <c r="G14" s="16">
        <v>0.46212962962962961</v>
      </c>
      <c r="H14" s="4">
        <v>2.7777777777777776E-2</v>
      </c>
      <c r="I14" s="4">
        <v>0.22916666666666666</v>
      </c>
      <c r="J14" s="4">
        <f t="shared" si="0"/>
        <v>2.1921296296295856E-2</v>
      </c>
      <c r="K14" s="4">
        <f t="shared" si="1"/>
        <v>0.19407407407407362</v>
      </c>
      <c r="L14" s="5">
        <f t="shared" si="2"/>
        <v>20</v>
      </c>
      <c r="M14" s="5">
        <f t="shared" si="3"/>
        <v>20</v>
      </c>
      <c r="N14" s="17">
        <v>7.6</v>
      </c>
      <c r="O14" s="17">
        <v>2</v>
      </c>
      <c r="P14" s="17">
        <v>8</v>
      </c>
      <c r="Q14" s="17">
        <v>3</v>
      </c>
      <c r="R14" s="17">
        <v>2</v>
      </c>
      <c r="S14" s="17">
        <v>1.6</v>
      </c>
      <c r="T14" s="17">
        <v>6</v>
      </c>
      <c r="U14" s="17">
        <v>3.4</v>
      </c>
      <c r="V14" s="17">
        <v>2</v>
      </c>
      <c r="W14" s="17">
        <v>6</v>
      </c>
      <c r="X14" s="17">
        <v>4</v>
      </c>
      <c r="Y14" s="17">
        <v>3</v>
      </c>
      <c r="Z14" s="17">
        <v>4.9000000000000004</v>
      </c>
      <c r="AA14" s="5">
        <f t="shared" si="4"/>
        <v>93.500000000000014</v>
      </c>
      <c r="AB14" s="108">
        <f t="shared" si="8"/>
        <v>6</v>
      </c>
      <c r="AC14" s="17"/>
      <c r="AD14" s="30">
        <v>15.1</v>
      </c>
      <c r="AE14" s="30">
        <v>13.05</v>
      </c>
      <c r="AF14" s="30">
        <v>11.45</v>
      </c>
      <c r="AG14" s="30">
        <v>11.7</v>
      </c>
      <c r="AH14" s="30"/>
      <c r="AI14" s="115">
        <f t="shared" si="6"/>
        <v>12.824999999999999</v>
      </c>
      <c r="AK14" s="30">
        <v>15.34</v>
      </c>
      <c r="AL14" s="30">
        <v>13.11</v>
      </c>
      <c r="AM14" s="30">
        <v>11.47</v>
      </c>
      <c r="AN14" s="30">
        <v>11.65</v>
      </c>
      <c r="AO14" s="30"/>
      <c r="AP14" s="30">
        <f t="shared" si="7"/>
        <v>12.8925</v>
      </c>
    </row>
    <row r="15" spans="1:42">
      <c r="A15" s="3" t="s">
        <v>93</v>
      </c>
      <c r="B15" s="9"/>
      <c r="C15" s="19" t="s">
        <v>251</v>
      </c>
      <c r="D15" s="10"/>
      <c r="E15" s="16"/>
      <c r="F15" s="16"/>
      <c r="G15" s="16"/>
      <c r="H15" s="4">
        <v>2.7777777777777776E-2</v>
      </c>
      <c r="I15" s="4">
        <v>0.22916666666666666</v>
      </c>
      <c r="J15" s="4">
        <f t="shared" si="0"/>
        <v>0</v>
      </c>
      <c r="K15" s="4">
        <f t="shared" si="1"/>
        <v>0</v>
      </c>
      <c r="L15" s="5">
        <f t="shared" si="2"/>
        <v>20</v>
      </c>
      <c r="M15" s="5">
        <f t="shared" si="3"/>
        <v>20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5">
        <f t="shared" si="4"/>
        <v>40</v>
      </c>
      <c r="AB15" s="108">
        <f t="shared" si="8"/>
        <v>15</v>
      </c>
      <c r="AC15" s="17"/>
      <c r="AD15" s="30"/>
      <c r="AE15" s="30"/>
      <c r="AF15" s="30"/>
      <c r="AG15" s="30"/>
      <c r="AH15" s="30"/>
      <c r="AI15" s="115" t="e">
        <f t="shared" si="6"/>
        <v>#DIV/0!</v>
      </c>
      <c r="AK15" s="30"/>
      <c r="AL15" s="30"/>
      <c r="AM15" s="30"/>
      <c r="AN15" s="30"/>
      <c r="AO15" s="30"/>
      <c r="AP15" s="30" t="e">
        <f t="shared" si="7"/>
        <v>#DIV/0!</v>
      </c>
    </row>
    <row r="16" spans="1:42">
      <c r="A16" s="3" t="s">
        <v>93</v>
      </c>
      <c r="B16" s="9" t="s">
        <v>275</v>
      </c>
      <c r="C16" s="10" t="s">
        <v>252</v>
      </c>
      <c r="D16" s="10"/>
      <c r="E16" s="16">
        <v>0.26874999999999999</v>
      </c>
      <c r="F16" s="16">
        <v>0.29046296296296298</v>
      </c>
      <c r="G16" s="16">
        <v>0.43584490740740739</v>
      </c>
      <c r="H16" s="4">
        <v>2.7777777777777776E-2</v>
      </c>
      <c r="I16" s="4">
        <v>0.22916666666666666</v>
      </c>
      <c r="J16" s="4">
        <f t="shared" si="0"/>
        <v>2.1712962962962989E-2</v>
      </c>
      <c r="K16" s="4">
        <f t="shared" si="1"/>
        <v>0.1670949074074074</v>
      </c>
      <c r="L16" s="5">
        <f t="shared" si="2"/>
        <v>20</v>
      </c>
      <c r="M16" s="5">
        <f t="shared" si="3"/>
        <v>20</v>
      </c>
      <c r="N16" s="17">
        <v>5.9</v>
      </c>
      <c r="O16" s="17">
        <v>2</v>
      </c>
      <c r="P16" s="17">
        <v>6.6</v>
      </c>
      <c r="Q16" s="17">
        <v>3</v>
      </c>
      <c r="R16" s="17">
        <v>0.9</v>
      </c>
      <c r="S16" s="17">
        <v>2</v>
      </c>
      <c r="T16" s="17">
        <v>4</v>
      </c>
      <c r="U16" s="17">
        <v>2.4</v>
      </c>
      <c r="V16" s="17">
        <v>1.8</v>
      </c>
      <c r="W16" s="17">
        <v>6</v>
      </c>
      <c r="X16" s="17">
        <v>3.5</v>
      </c>
      <c r="Y16" s="17">
        <v>3</v>
      </c>
      <c r="Z16" s="17">
        <v>5</v>
      </c>
      <c r="AA16" s="5">
        <f t="shared" si="4"/>
        <v>86.100000000000009</v>
      </c>
      <c r="AB16" s="108">
        <f t="shared" si="8"/>
        <v>10</v>
      </c>
      <c r="AC16" s="17"/>
      <c r="AD16" s="30">
        <v>13.45</v>
      </c>
      <c r="AE16" s="30">
        <v>13.05</v>
      </c>
      <c r="AF16" s="30">
        <v>12.85</v>
      </c>
      <c r="AG16" s="30"/>
      <c r="AH16" s="30"/>
      <c r="AI16" s="115">
        <f t="shared" si="6"/>
        <v>13.116666666666667</v>
      </c>
      <c r="AK16" s="30">
        <v>13.18</v>
      </c>
      <c r="AL16" s="30">
        <v>13.51</v>
      </c>
      <c r="AM16" s="30">
        <v>12.77</v>
      </c>
      <c r="AN16" s="30"/>
      <c r="AO16" s="30"/>
      <c r="AP16" s="30">
        <f t="shared" si="7"/>
        <v>13.153333333333331</v>
      </c>
    </row>
    <row r="17" spans="1:42">
      <c r="A17" s="3" t="s">
        <v>93</v>
      </c>
      <c r="B17" s="9" t="s">
        <v>276</v>
      </c>
      <c r="C17" s="19" t="s">
        <v>253</v>
      </c>
      <c r="D17" s="10"/>
      <c r="E17" s="16">
        <v>0.26944444444444443</v>
      </c>
      <c r="F17" s="16">
        <v>0.29393518518518519</v>
      </c>
      <c r="G17" s="16">
        <v>0.46631944444444445</v>
      </c>
      <c r="H17" s="4">
        <v>2.7777777777777776E-2</v>
      </c>
      <c r="I17" s="4">
        <v>0.22916666666666666</v>
      </c>
      <c r="J17" s="4">
        <f t="shared" si="0"/>
        <v>2.4490740740740757E-2</v>
      </c>
      <c r="K17" s="4">
        <f t="shared" si="1"/>
        <v>0.19687500000000002</v>
      </c>
      <c r="L17" s="5">
        <f t="shared" si="2"/>
        <v>20</v>
      </c>
      <c r="M17" s="5">
        <f t="shared" si="3"/>
        <v>20</v>
      </c>
      <c r="N17" s="17">
        <v>4.9000000000000004</v>
      </c>
      <c r="O17" s="17">
        <v>1.5</v>
      </c>
      <c r="P17" s="17">
        <v>7.3</v>
      </c>
      <c r="Q17" s="17">
        <v>4</v>
      </c>
      <c r="R17" s="17">
        <v>3.9</v>
      </c>
      <c r="S17" s="17">
        <v>1.4</v>
      </c>
      <c r="T17" s="17">
        <v>7</v>
      </c>
      <c r="U17" s="17">
        <v>3.2</v>
      </c>
      <c r="V17" s="17">
        <v>1.2</v>
      </c>
      <c r="W17" s="17">
        <v>5.4</v>
      </c>
      <c r="X17" s="17">
        <v>3</v>
      </c>
      <c r="Y17" s="17">
        <v>3</v>
      </c>
      <c r="Z17" s="17">
        <v>5</v>
      </c>
      <c r="AA17" s="5">
        <f t="shared" si="4"/>
        <v>90.800000000000011</v>
      </c>
      <c r="AB17" s="108">
        <f t="shared" si="8"/>
        <v>7</v>
      </c>
      <c r="AC17" s="17"/>
      <c r="AD17" s="30">
        <v>11.9</v>
      </c>
      <c r="AE17" s="30">
        <v>11.55</v>
      </c>
      <c r="AF17" s="30">
        <v>12.9</v>
      </c>
      <c r="AG17" s="30">
        <v>10.65</v>
      </c>
      <c r="AH17" s="30">
        <v>13.2</v>
      </c>
      <c r="AI17" s="115">
        <f t="shared" si="6"/>
        <v>12.040000000000001</v>
      </c>
      <c r="AK17" s="30">
        <v>11.93</v>
      </c>
      <c r="AL17" s="30">
        <v>11.26</v>
      </c>
      <c r="AM17" s="30">
        <v>10.65</v>
      </c>
      <c r="AN17" s="30">
        <v>12.89</v>
      </c>
      <c r="AO17" s="30">
        <v>13.12</v>
      </c>
      <c r="AP17" s="30">
        <f t="shared" si="7"/>
        <v>11.969999999999999</v>
      </c>
    </row>
    <row r="18" spans="1:42">
      <c r="A18" s="3" t="s">
        <v>93</v>
      </c>
      <c r="B18" s="9" t="s">
        <v>277</v>
      </c>
      <c r="C18" s="10" t="s">
        <v>254</v>
      </c>
      <c r="D18" s="10"/>
      <c r="E18" s="16">
        <v>0.27013888888888898</v>
      </c>
      <c r="F18" s="16">
        <v>0.29278935185185184</v>
      </c>
      <c r="G18" s="16">
        <v>0.47668981481481482</v>
      </c>
      <c r="H18" s="4">
        <v>2.7777777777777776E-2</v>
      </c>
      <c r="I18" s="4">
        <v>0.22916666666666666</v>
      </c>
      <c r="J18" s="4">
        <f t="shared" si="0"/>
        <v>2.2650462962962858E-2</v>
      </c>
      <c r="K18" s="4">
        <f t="shared" si="1"/>
        <v>0.20655092592592583</v>
      </c>
      <c r="L18" s="5">
        <f t="shared" si="2"/>
        <v>20</v>
      </c>
      <c r="M18" s="5">
        <f t="shared" si="3"/>
        <v>20</v>
      </c>
      <c r="N18" s="17">
        <v>8</v>
      </c>
      <c r="O18" s="17">
        <v>2</v>
      </c>
      <c r="P18" s="17">
        <v>8</v>
      </c>
      <c r="Q18" s="17">
        <v>4</v>
      </c>
      <c r="R18" s="17">
        <v>4.2</v>
      </c>
      <c r="S18" s="17">
        <v>1.8</v>
      </c>
      <c r="T18" s="17">
        <v>6</v>
      </c>
      <c r="U18" s="17">
        <v>3.8</v>
      </c>
      <c r="V18" s="17">
        <v>2</v>
      </c>
      <c r="W18" s="17">
        <v>5.8</v>
      </c>
      <c r="X18" s="17">
        <v>4</v>
      </c>
      <c r="Y18" s="17">
        <v>2.4</v>
      </c>
      <c r="Z18" s="17">
        <v>5</v>
      </c>
      <c r="AA18" s="5">
        <f t="shared" si="4"/>
        <v>97</v>
      </c>
      <c r="AB18" s="108">
        <f t="shared" si="8"/>
        <v>4</v>
      </c>
      <c r="AC18" s="17"/>
      <c r="AD18" s="30">
        <v>15.4</v>
      </c>
      <c r="AE18" s="30">
        <v>13.85</v>
      </c>
      <c r="AF18" s="30">
        <v>9.8000000000000007</v>
      </c>
      <c r="AG18" s="30">
        <v>11.45</v>
      </c>
      <c r="AH18" s="30">
        <v>13.6</v>
      </c>
      <c r="AI18" s="115">
        <f t="shared" si="6"/>
        <v>12.819999999999999</v>
      </c>
      <c r="AK18" s="30">
        <v>15.47</v>
      </c>
      <c r="AL18" s="30">
        <v>11.42</v>
      </c>
      <c r="AM18" s="30">
        <v>13.55</v>
      </c>
      <c r="AN18" s="30">
        <v>10.73</v>
      </c>
      <c r="AO18" s="30">
        <v>12.95</v>
      </c>
      <c r="AP18" s="30">
        <f t="shared" si="7"/>
        <v>12.824000000000002</v>
      </c>
    </row>
    <row r="19" spans="1:42">
      <c r="A19" s="3" t="s">
        <v>93</v>
      </c>
      <c r="B19" s="9" t="s">
        <v>278</v>
      </c>
      <c r="C19" s="19" t="s">
        <v>255</v>
      </c>
      <c r="D19" s="10"/>
      <c r="E19" s="16">
        <v>0.27083333333333298</v>
      </c>
      <c r="F19" s="16">
        <v>0.29550925925925925</v>
      </c>
      <c r="G19" s="16">
        <v>0.45822916666666669</v>
      </c>
      <c r="H19" s="4">
        <v>2.7777777777777776E-2</v>
      </c>
      <c r="I19" s="4">
        <v>0.22916666666666666</v>
      </c>
      <c r="J19" s="4">
        <f t="shared" si="0"/>
        <v>2.4675925925926268E-2</v>
      </c>
      <c r="K19" s="4">
        <f t="shared" si="1"/>
        <v>0.18739583333333371</v>
      </c>
      <c r="L19" s="5">
        <f t="shared" si="2"/>
        <v>20</v>
      </c>
      <c r="M19" s="5">
        <f t="shared" si="3"/>
        <v>20</v>
      </c>
      <c r="N19" s="17">
        <v>4.4000000000000004</v>
      </c>
      <c r="O19" s="17">
        <v>1.5</v>
      </c>
      <c r="P19" s="17">
        <v>8</v>
      </c>
      <c r="Q19" s="17">
        <v>2.5</v>
      </c>
      <c r="R19" s="17">
        <v>1</v>
      </c>
      <c r="S19" s="17">
        <v>1.1000000000000001</v>
      </c>
      <c r="T19" s="17">
        <v>4</v>
      </c>
      <c r="U19" s="17">
        <v>3.4</v>
      </c>
      <c r="V19" s="17">
        <v>0.6</v>
      </c>
      <c r="W19" s="17">
        <v>4.8</v>
      </c>
      <c r="X19" s="17">
        <v>2</v>
      </c>
      <c r="Y19" s="17">
        <v>1.2</v>
      </c>
      <c r="Z19" s="17">
        <v>3.9</v>
      </c>
      <c r="AA19" s="5">
        <f t="shared" si="4"/>
        <v>78.400000000000006</v>
      </c>
      <c r="AB19" s="108">
        <f t="shared" si="8"/>
        <v>13</v>
      </c>
      <c r="AC19" s="17"/>
      <c r="AD19" s="30">
        <v>12.7</v>
      </c>
      <c r="AE19" s="30">
        <v>14.8</v>
      </c>
      <c r="AF19" s="30">
        <v>15.85</v>
      </c>
      <c r="AG19" s="30"/>
      <c r="AH19" s="30"/>
      <c r="AI19" s="115">
        <f t="shared" si="6"/>
        <v>14.450000000000001</v>
      </c>
      <c r="AK19" s="30">
        <v>16.2</v>
      </c>
      <c r="AL19" s="30">
        <v>14.7</v>
      </c>
      <c r="AM19" s="30">
        <v>12.61</v>
      </c>
      <c r="AN19" s="30"/>
      <c r="AO19" s="30"/>
      <c r="AP19" s="30">
        <f t="shared" si="7"/>
        <v>14.503333333333332</v>
      </c>
    </row>
    <row r="20" spans="1:42">
      <c r="A20" s="3" t="s">
        <v>93</v>
      </c>
      <c r="B20" s="9" t="s">
        <v>279</v>
      </c>
      <c r="C20" s="10" t="s">
        <v>256</v>
      </c>
      <c r="D20" s="10"/>
      <c r="E20" s="16">
        <v>0.27152777777777798</v>
      </c>
      <c r="F20" s="16">
        <v>0.2945949074074074</v>
      </c>
      <c r="G20" s="16">
        <v>0.48185185185185181</v>
      </c>
      <c r="H20" s="4">
        <v>2.7777777777777776E-2</v>
      </c>
      <c r="I20" s="4">
        <v>0.22916666666666666</v>
      </c>
      <c r="J20" s="4">
        <f t="shared" si="0"/>
        <v>2.3067129629629424E-2</v>
      </c>
      <c r="K20" s="4">
        <f t="shared" si="1"/>
        <v>0.21032407407407383</v>
      </c>
      <c r="L20" s="5">
        <f t="shared" si="2"/>
        <v>20</v>
      </c>
      <c r="M20" s="5">
        <f t="shared" si="3"/>
        <v>20</v>
      </c>
      <c r="N20" s="17">
        <v>7.4</v>
      </c>
      <c r="O20" s="17">
        <v>2</v>
      </c>
      <c r="P20" s="17">
        <v>8</v>
      </c>
      <c r="Q20" s="17">
        <v>4</v>
      </c>
      <c r="R20" s="17">
        <v>3.8</v>
      </c>
      <c r="S20" s="17">
        <v>1.5</v>
      </c>
      <c r="T20" s="17">
        <v>7</v>
      </c>
      <c r="U20" s="17">
        <v>3.6</v>
      </c>
      <c r="V20" s="17">
        <v>2</v>
      </c>
      <c r="W20" s="17">
        <v>5.8</v>
      </c>
      <c r="X20" s="17">
        <v>4</v>
      </c>
      <c r="Y20" s="17">
        <v>3</v>
      </c>
      <c r="Z20" s="17">
        <v>5</v>
      </c>
      <c r="AA20" s="5">
        <f t="shared" si="4"/>
        <v>97.1</v>
      </c>
      <c r="AB20" s="108">
        <f t="shared" si="8"/>
        <v>3</v>
      </c>
      <c r="AC20" s="17"/>
      <c r="AD20" s="30">
        <v>12.9</v>
      </c>
      <c r="AE20" s="30">
        <v>12.55</v>
      </c>
      <c r="AF20" s="30">
        <v>12.6</v>
      </c>
      <c r="AG20" s="30">
        <v>14.05</v>
      </c>
      <c r="AH20" s="30"/>
      <c r="AI20" s="115">
        <f t="shared" si="6"/>
        <v>13.025000000000002</v>
      </c>
      <c r="AK20" s="30">
        <v>12.97</v>
      </c>
      <c r="AL20" s="30">
        <v>12.39</v>
      </c>
      <c r="AM20" s="30">
        <v>12.49</v>
      </c>
      <c r="AN20" s="30">
        <v>14.03</v>
      </c>
      <c r="AO20" s="30"/>
      <c r="AP20" s="30">
        <f t="shared" si="7"/>
        <v>12.97</v>
      </c>
    </row>
    <row r="21" spans="1:42">
      <c r="A21" s="3" t="s">
        <v>93</v>
      </c>
      <c r="B21" s="9" t="s">
        <v>280</v>
      </c>
      <c r="C21" s="19" t="s">
        <v>257</v>
      </c>
      <c r="D21" s="10"/>
      <c r="E21" s="16">
        <v>0.27222222222222198</v>
      </c>
      <c r="F21" s="16">
        <v>0.29622685185185188</v>
      </c>
      <c r="G21" s="16">
        <v>0.46325231481481483</v>
      </c>
      <c r="H21" s="4">
        <v>2.7777777777777776E-2</v>
      </c>
      <c r="I21" s="4">
        <v>0.22916666666666666</v>
      </c>
      <c r="J21" s="4">
        <f t="shared" si="0"/>
        <v>2.4004629629629903E-2</v>
      </c>
      <c r="K21" s="4">
        <f t="shared" si="1"/>
        <v>0.19103009259259285</v>
      </c>
      <c r="L21" s="5">
        <f t="shared" si="2"/>
        <v>20</v>
      </c>
      <c r="M21" s="5">
        <f t="shared" si="3"/>
        <v>20</v>
      </c>
      <c r="N21" s="17">
        <v>6.8</v>
      </c>
      <c r="O21" s="17">
        <v>2</v>
      </c>
      <c r="P21" s="17">
        <v>7.5</v>
      </c>
      <c r="Q21" s="17">
        <v>3.5</v>
      </c>
      <c r="R21" s="17">
        <v>2</v>
      </c>
      <c r="S21" s="17">
        <v>1.5</v>
      </c>
      <c r="T21" s="17">
        <v>4</v>
      </c>
      <c r="U21" s="17">
        <v>2.4</v>
      </c>
      <c r="V21" s="17">
        <v>1.8</v>
      </c>
      <c r="W21" s="17">
        <v>5.6</v>
      </c>
      <c r="X21" s="17">
        <v>3</v>
      </c>
      <c r="Y21" s="17">
        <v>3</v>
      </c>
      <c r="Z21" s="17">
        <v>5</v>
      </c>
      <c r="AA21" s="5">
        <f t="shared" si="4"/>
        <v>88.1</v>
      </c>
      <c r="AB21" s="108">
        <f t="shared" si="8"/>
        <v>8</v>
      </c>
      <c r="AC21" s="17"/>
      <c r="AD21" s="30">
        <v>11.55</v>
      </c>
      <c r="AE21" s="30">
        <v>11.25</v>
      </c>
      <c r="AF21" s="30">
        <v>14.85</v>
      </c>
      <c r="AG21" s="30">
        <v>11.6</v>
      </c>
      <c r="AH21" s="30"/>
      <c r="AI21" s="115">
        <f t="shared" si="6"/>
        <v>12.3125</v>
      </c>
      <c r="AK21" s="30">
        <v>11.49</v>
      </c>
      <c r="AL21" s="30">
        <v>11.25</v>
      </c>
      <c r="AM21" s="30">
        <v>14.74</v>
      </c>
      <c r="AN21" s="30">
        <v>11.64</v>
      </c>
      <c r="AO21" s="30"/>
      <c r="AP21" s="30">
        <f t="shared" si="7"/>
        <v>12.280000000000001</v>
      </c>
    </row>
    <row r="22" spans="1:42">
      <c r="A22" s="3" t="s">
        <v>93</v>
      </c>
      <c r="B22" s="9" t="s">
        <v>281</v>
      </c>
      <c r="C22" s="10" t="s">
        <v>268</v>
      </c>
      <c r="D22" s="10"/>
      <c r="E22" s="16">
        <v>0.27291666666666697</v>
      </c>
      <c r="F22" s="16">
        <v>0.2991550925925926</v>
      </c>
      <c r="G22" s="16">
        <v>0.48980324074074072</v>
      </c>
      <c r="H22" s="4">
        <v>2.7777777777777776E-2</v>
      </c>
      <c r="I22" s="4">
        <v>0.22916666666666666</v>
      </c>
      <c r="J22" s="4">
        <f t="shared" si="0"/>
        <v>2.6238425925925624E-2</v>
      </c>
      <c r="K22" s="4">
        <f t="shared" si="1"/>
        <v>0.21688657407407375</v>
      </c>
      <c r="L22" s="5">
        <f t="shared" si="2"/>
        <v>20</v>
      </c>
      <c r="M22" s="5">
        <f t="shared" si="3"/>
        <v>20</v>
      </c>
      <c r="N22" s="17">
        <v>3.1</v>
      </c>
      <c r="O22" s="17">
        <v>2</v>
      </c>
      <c r="P22" s="17">
        <v>7</v>
      </c>
      <c r="Q22" s="17">
        <v>4</v>
      </c>
      <c r="R22" s="17">
        <v>1.1000000000000001</v>
      </c>
      <c r="S22" s="17">
        <v>1.7</v>
      </c>
      <c r="T22" s="17">
        <v>4</v>
      </c>
      <c r="U22" s="17">
        <v>2.8</v>
      </c>
      <c r="V22" s="17">
        <v>0.4</v>
      </c>
      <c r="W22" s="17">
        <v>4.8</v>
      </c>
      <c r="X22" s="17">
        <v>3.5</v>
      </c>
      <c r="Y22" s="17">
        <v>2.4</v>
      </c>
      <c r="Z22" s="17">
        <v>4.9000000000000004</v>
      </c>
      <c r="AA22" s="5">
        <f t="shared" si="4"/>
        <v>81.700000000000017</v>
      </c>
      <c r="AB22" s="108">
        <f t="shared" si="8"/>
        <v>12</v>
      </c>
      <c r="AC22" s="17"/>
      <c r="AD22" s="30">
        <v>15.3</v>
      </c>
      <c r="AE22" s="30">
        <v>12.35</v>
      </c>
      <c r="AF22" s="30">
        <v>12.6</v>
      </c>
      <c r="AG22" s="30">
        <v>10.95</v>
      </c>
      <c r="AH22" s="30"/>
      <c r="AI22" s="115">
        <f t="shared" si="6"/>
        <v>12.8</v>
      </c>
      <c r="AK22" s="30">
        <v>12.34</v>
      </c>
      <c r="AL22" s="30">
        <v>15.33</v>
      </c>
      <c r="AM22" s="30">
        <v>10.59</v>
      </c>
      <c r="AN22" s="30">
        <v>12.61</v>
      </c>
      <c r="AO22" s="30"/>
      <c r="AP22" s="30">
        <f t="shared" si="7"/>
        <v>12.717500000000001</v>
      </c>
    </row>
    <row r="23" spans="1:42">
      <c r="A23" s="3" t="s">
        <v>93</v>
      </c>
      <c r="B23" s="9" t="s">
        <v>282</v>
      </c>
      <c r="C23" s="19" t="s">
        <v>269</v>
      </c>
      <c r="D23" s="10"/>
      <c r="E23" s="16">
        <v>0.27361111111111103</v>
      </c>
      <c r="F23" s="16">
        <v>0.29511574074074071</v>
      </c>
      <c r="G23" s="16">
        <v>0.47996527777777781</v>
      </c>
      <c r="H23" s="4">
        <v>2.7777777777777776E-2</v>
      </c>
      <c r="I23" s="4">
        <v>0.22916666666666666</v>
      </c>
      <c r="J23" s="4">
        <f t="shared" si="0"/>
        <v>2.1504629629629679E-2</v>
      </c>
      <c r="K23" s="4">
        <f t="shared" si="1"/>
        <v>0.20635416666666678</v>
      </c>
      <c r="L23" s="5">
        <f t="shared" si="2"/>
        <v>20</v>
      </c>
      <c r="M23" s="5">
        <f t="shared" si="3"/>
        <v>20</v>
      </c>
      <c r="N23" s="17">
        <v>7.5</v>
      </c>
      <c r="O23" s="17">
        <v>2</v>
      </c>
      <c r="P23" s="17">
        <v>8</v>
      </c>
      <c r="Q23" s="17">
        <v>4</v>
      </c>
      <c r="R23" s="17">
        <v>4.0999999999999996</v>
      </c>
      <c r="S23" s="17">
        <v>1.7</v>
      </c>
      <c r="T23" s="17">
        <v>7</v>
      </c>
      <c r="U23" s="17">
        <v>3.2</v>
      </c>
      <c r="V23" s="17">
        <v>1.8</v>
      </c>
      <c r="W23" s="17">
        <v>5.6</v>
      </c>
      <c r="X23" s="17">
        <v>3.5</v>
      </c>
      <c r="Y23" s="17">
        <v>2.4</v>
      </c>
      <c r="Z23" s="17">
        <v>5</v>
      </c>
      <c r="AA23" s="5">
        <f t="shared" si="4"/>
        <v>95.8</v>
      </c>
      <c r="AB23" s="108">
        <f t="shared" si="8"/>
        <v>5</v>
      </c>
      <c r="AC23" s="17"/>
      <c r="AD23" s="30">
        <v>12.95</v>
      </c>
      <c r="AE23" s="30">
        <v>12.4</v>
      </c>
      <c r="AF23" s="30">
        <v>11.5</v>
      </c>
      <c r="AG23" s="30">
        <v>15.4</v>
      </c>
      <c r="AH23" s="30">
        <v>11.1</v>
      </c>
      <c r="AI23" s="115">
        <f t="shared" si="6"/>
        <v>12.67</v>
      </c>
      <c r="AK23" s="30">
        <v>12.37</v>
      </c>
      <c r="AL23" s="30">
        <v>12.43</v>
      </c>
      <c r="AM23" s="30">
        <v>15.45</v>
      </c>
      <c r="AN23" s="30">
        <v>11.16</v>
      </c>
      <c r="AO23" s="30">
        <v>11.25</v>
      </c>
      <c r="AP23" s="30">
        <f t="shared" si="7"/>
        <v>12.532</v>
      </c>
    </row>
    <row r="24" spans="1:42">
      <c r="A24" s="3" t="s">
        <v>93</v>
      </c>
      <c r="B24" s="9" t="s">
        <v>283</v>
      </c>
      <c r="C24" s="10" t="s">
        <v>270</v>
      </c>
      <c r="D24" s="10"/>
      <c r="E24" s="16">
        <v>0.27430555555555602</v>
      </c>
      <c r="F24" s="16">
        <v>0.2966550925925926</v>
      </c>
      <c r="G24" s="16">
        <v>0.43245370370370373</v>
      </c>
      <c r="H24" s="4">
        <v>2.7777777777777776E-2</v>
      </c>
      <c r="I24" s="4">
        <v>0.22916666666666666</v>
      </c>
      <c r="J24" s="4">
        <f t="shared" si="0"/>
        <v>2.2349537037036571E-2</v>
      </c>
      <c r="K24" s="4">
        <f t="shared" si="1"/>
        <v>0.1581481481481477</v>
      </c>
      <c r="L24" s="5">
        <f t="shared" si="2"/>
        <v>20</v>
      </c>
      <c r="M24" s="5">
        <f t="shared" si="3"/>
        <v>20</v>
      </c>
      <c r="N24" s="17">
        <v>4.3</v>
      </c>
      <c r="O24" s="17">
        <v>1.5</v>
      </c>
      <c r="P24" s="17">
        <v>8</v>
      </c>
      <c r="Q24" s="17">
        <v>3</v>
      </c>
      <c r="R24" s="17">
        <v>0.7</v>
      </c>
      <c r="S24" s="17">
        <v>0.7</v>
      </c>
      <c r="T24" s="17">
        <v>1.5</v>
      </c>
      <c r="U24" s="17">
        <v>2</v>
      </c>
      <c r="V24" s="17">
        <v>1.4</v>
      </c>
      <c r="W24" s="17">
        <v>4.8</v>
      </c>
      <c r="X24" s="17">
        <v>2.5</v>
      </c>
      <c r="Y24" s="17">
        <v>2.4</v>
      </c>
      <c r="Z24" s="17">
        <v>4.9000000000000004</v>
      </c>
      <c r="AA24" s="5">
        <f t="shared" si="4"/>
        <v>77.700000000000017</v>
      </c>
      <c r="AB24" s="108">
        <f t="shared" si="8"/>
        <v>14</v>
      </c>
      <c r="AC24" s="17"/>
      <c r="AD24" s="30">
        <v>17.600000000000001</v>
      </c>
      <c r="AE24" s="30">
        <v>9.75</v>
      </c>
      <c r="AF24" s="30">
        <v>15.35</v>
      </c>
      <c r="AG24" s="30"/>
      <c r="AH24" s="30"/>
      <c r="AI24" s="115">
        <f t="shared" si="6"/>
        <v>14.233333333333334</v>
      </c>
      <c r="AK24" s="30">
        <v>17.55</v>
      </c>
      <c r="AL24" s="30">
        <v>9.6199999999999992</v>
      </c>
      <c r="AM24" s="30">
        <v>15.08</v>
      </c>
      <c r="AN24" s="30"/>
      <c r="AO24" s="30"/>
      <c r="AP24" s="30">
        <f t="shared" si="7"/>
        <v>14.083333333333334</v>
      </c>
    </row>
    <row r="25" spans="1:42" ht="14.25" thickBot="1">
      <c r="A25" s="8" t="s">
        <v>294</v>
      </c>
      <c r="B25" s="18" t="s">
        <v>295</v>
      </c>
      <c r="C25" s="19" t="s">
        <v>296</v>
      </c>
      <c r="D25" s="19"/>
      <c r="E25" s="20">
        <v>0.27500000000000002</v>
      </c>
      <c r="F25" s="20">
        <v>0.29424768518518518</v>
      </c>
      <c r="G25" s="20">
        <v>0.4700462962962963</v>
      </c>
      <c r="H25" s="21">
        <v>2.7777777777777776E-2</v>
      </c>
      <c r="I25" s="21">
        <v>0.22916666666666666</v>
      </c>
      <c r="J25" s="21">
        <f t="shared" si="0"/>
        <v>1.9247685185185159E-2</v>
      </c>
      <c r="K25" s="21">
        <f t="shared" si="1"/>
        <v>0.19504629629629627</v>
      </c>
      <c r="L25" s="22">
        <f t="shared" si="2"/>
        <v>20</v>
      </c>
      <c r="M25" s="22">
        <f t="shared" si="3"/>
        <v>20</v>
      </c>
      <c r="N25" s="23">
        <v>7.8</v>
      </c>
      <c r="O25" s="23">
        <v>2</v>
      </c>
      <c r="P25" s="23">
        <v>8</v>
      </c>
      <c r="Q25" s="23">
        <v>4</v>
      </c>
      <c r="R25" s="23">
        <v>4.4000000000000004</v>
      </c>
      <c r="S25" s="23">
        <v>1.9</v>
      </c>
      <c r="T25" s="23">
        <v>7</v>
      </c>
      <c r="U25" s="23">
        <v>4</v>
      </c>
      <c r="V25" s="23">
        <v>1.8</v>
      </c>
      <c r="W25" s="23">
        <v>6</v>
      </c>
      <c r="X25" s="23">
        <v>4</v>
      </c>
      <c r="Y25" s="23">
        <v>3</v>
      </c>
      <c r="Z25" s="23">
        <v>5</v>
      </c>
      <c r="AA25" s="22">
        <f t="shared" si="4"/>
        <v>98.9</v>
      </c>
      <c r="AB25" s="110">
        <f t="shared" si="8"/>
        <v>1</v>
      </c>
      <c r="AC25" s="23"/>
      <c r="AD25" s="30">
        <v>13.9</v>
      </c>
      <c r="AE25" s="30">
        <v>12.4</v>
      </c>
      <c r="AF25" s="30">
        <v>9.1</v>
      </c>
      <c r="AG25" s="30">
        <v>12.7</v>
      </c>
      <c r="AH25" s="30"/>
      <c r="AI25" s="115">
        <f t="shared" si="6"/>
        <v>12.024999999999999</v>
      </c>
      <c r="AK25" s="30">
        <v>14.01</v>
      </c>
      <c r="AL25" s="30">
        <v>12.91</v>
      </c>
      <c r="AM25" s="30">
        <v>9.07</v>
      </c>
      <c r="AN25" s="30">
        <v>12.46</v>
      </c>
      <c r="AO25" s="30"/>
      <c r="AP25" s="30">
        <f t="shared" si="7"/>
        <v>12.112500000000001</v>
      </c>
    </row>
    <row r="26" spans="1:42" ht="14.25" thickTop="1">
      <c r="A26" s="101" t="s">
        <v>91</v>
      </c>
      <c r="B26" s="102" t="s">
        <v>284</v>
      </c>
      <c r="C26" s="103" t="s">
        <v>197</v>
      </c>
      <c r="D26" s="103"/>
      <c r="E26" s="104">
        <v>0.27569444444444402</v>
      </c>
      <c r="F26" s="104">
        <v>0.31843749999999998</v>
      </c>
      <c r="G26" s="104">
        <v>0.50749999999999995</v>
      </c>
      <c r="H26" s="105">
        <v>3.4722222222222224E-2</v>
      </c>
      <c r="I26" s="105">
        <v>0.25</v>
      </c>
      <c r="J26" s="105">
        <f t="shared" si="0"/>
        <v>4.2743055555555964E-2</v>
      </c>
      <c r="K26" s="105">
        <f t="shared" si="1"/>
        <v>0.23180555555555593</v>
      </c>
      <c r="L26" s="106">
        <f t="shared" si="2"/>
        <v>14.2</v>
      </c>
      <c r="M26" s="106">
        <f t="shared" si="3"/>
        <v>20</v>
      </c>
      <c r="N26" s="107">
        <v>6.4</v>
      </c>
      <c r="O26" s="107">
        <v>2</v>
      </c>
      <c r="P26" s="107">
        <v>0</v>
      </c>
      <c r="Q26" s="107">
        <v>3.5</v>
      </c>
      <c r="R26" s="107">
        <v>1.1000000000000001</v>
      </c>
      <c r="S26" s="107">
        <v>1.5</v>
      </c>
      <c r="T26" s="107">
        <v>1</v>
      </c>
      <c r="U26" s="107">
        <v>2.6</v>
      </c>
      <c r="V26" s="107">
        <v>2</v>
      </c>
      <c r="W26" s="107">
        <v>5.4</v>
      </c>
      <c r="X26" s="107">
        <v>2.5</v>
      </c>
      <c r="Y26" s="107">
        <v>3</v>
      </c>
      <c r="Z26" s="107">
        <v>5</v>
      </c>
      <c r="AA26" s="106">
        <f t="shared" si="4"/>
        <v>70.2</v>
      </c>
      <c r="AB26" s="111">
        <f>RANK(AA26,$AA$26:$AA$28)</f>
        <v>3</v>
      </c>
      <c r="AC26" s="107"/>
      <c r="AD26" s="30">
        <v>17.149999999999999</v>
      </c>
      <c r="AE26" s="30">
        <v>16.95</v>
      </c>
      <c r="AF26" s="30">
        <v>12.6</v>
      </c>
      <c r="AG26" s="30">
        <v>14.5</v>
      </c>
      <c r="AH26" s="30"/>
      <c r="AI26" s="115">
        <f t="shared" si="6"/>
        <v>15.299999999999999</v>
      </c>
      <c r="AK26" s="30">
        <v>16.940000000000001</v>
      </c>
      <c r="AL26" s="30">
        <v>14.64</v>
      </c>
      <c r="AM26" s="30">
        <v>12.74</v>
      </c>
      <c r="AN26" s="30">
        <v>15.92</v>
      </c>
      <c r="AO26" s="30"/>
      <c r="AP26" s="30">
        <f t="shared" si="7"/>
        <v>15.06</v>
      </c>
    </row>
    <row r="27" spans="1:42">
      <c r="A27" s="3" t="s">
        <v>91</v>
      </c>
      <c r="B27" s="9" t="s">
        <v>266</v>
      </c>
      <c r="C27" s="10" t="s">
        <v>198</v>
      </c>
      <c r="D27" s="10"/>
      <c r="E27" s="16">
        <v>0.27638888888888902</v>
      </c>
      <c r="F27" s="16">
        <v>0.30586805555555557</v>
      </c>
      <c r="G27" s="16">
        <v>0.49767361111111108</v>
      </c>
      <c r="H27" s="4">
        <v>3.4722222222222224E-2</v>
      </c>
      <c r="I27" s="4">
        <v>0.25</v>
      </c>
      <c r="J27" s="4">
        <f t="shared" si="0"/>
        <v>2.9479166666666556E-2</v>
      </c>
      <c r="K27" s="4">
        <f t="shared" si="1"/>
        <v>0.22128472222222206</v>
      </c>
      <c r="L27" s="5">
        <f t="shared" si="2"/>
        <v>20</v>
      </c>
      <c r="M27" s="5">
        <f t="shared" si="3"/>
        <v>20</v>
      </c>
      <c r="N27" s="17">
        <v>8</v>
      </c>
      <c r="O27" s="17">
        <v>2</v>
      </c>
      <c r="P27" s="17">
        <v>7.6</v>
      </c>
      <c r="Q27" s="17">
        <v>4</v>
      </c>
      <c r="R27" s="17">
        <v>3.1</v>
      </c>
      <c r="S27" s="17">
        <v>1.7</v>
      </c>
      <c r="T27" s="17">
        <v>7</v>
      </c>
      <c r="U27" s="17">
        <v>3</v>
      </c>
      <c r="V27" s="17">
        <v>1.6</v>
      </c>
      <c r="W27" s="17">
        <v>6</v>
      </c>
      <c r="X27" s="17">
        <v>3</v>
      </c>
      <c r="Y27" s="17">
        <v>3</v>
      </c>
      <c r="Z27" s="17">
        <v>5</v>
      </c>
      <c r="AA27" s="5">
        <f t="shared" si="4"/>
        <v>95</v>
      </c>
      <c r="AB27" s="108">
        <f>RANK(AA27,$AA$26:$AA$28)</f>
        <v>1</v>
      </c>
      <c r="AC27" s="17"/>
      <c r="AD27" s="30">
        <v>13.65</v>
      </c>
      <c r="AE27" s="30">
        <v>11.3</v>
      </c>
      <c r="AF27" s="30">
        <v>12.6</v>
      </c>
      <c r="AG27" s="30">
        <v>14.55</v>
      </c>
      <c r="AH27" s="30"/>
      <c r="AI27" s="115">
        <f t="shared" si="6"/>
        <v>13.025000000000002</v>
      </c>
      <c r="AK27" s="30">
        <v>13.66</v>
      </c>
      <c r="AL27" s="30">
        <v>12.62</v>
      </c>
      <c r="AM27" s="30">
        <v>11.29</v>
      </c>
      <c r="AN27" s="30">
        <v>14.35</v>
      </c>
      <c r="AO27" s="30"/>
      <c r="AP27" s="30">
        <f t="shared" si="7"/>
        <v>12.98</v>
      </c>
    </row>
    <row r="28" spans="1:42" ht="14.25" thickBot="1">
      <c r="A28" s="63" t="s">
        <v>91</v>
      </c>
      <c r="B28" s="64" t="s">
        <v>264</v>
      </c>
      <c r="C28" s="65" t="s">
        <v>199</v>
      </c>
      <c r="D28" s="65"/>
      <c r="E28" s="66">
        <v>0.27708333333333302</v>
      </c>
      <c r="F28" s="66">
        <v>0.30435185185185182</v>
      </c>
      <c r="G28" s="66">
        <v>0.50208333333333333</v>
      </c>
      <c r="H28" s="67">
        <v>3.4722222222222224E-2</v>
      </c>
      <c r="I28" s="67">
        <v>0.25</v>
      </c>
      <c r="J28" s="67">
        <f t="shared" si="0"/>
        <v>2.7268518518518803E-2</v>
      </c>
      <c r="K28" s="67">
        <f t="shared" si="1"/>
        <v>0.22500000000000031</v>
      </c>
      <c r="L28" s="68">
        <f t="shared" si="2"/>
        <v>20</v>
      </c>
      <c r="M28" s="68">
        <f t="shared" si="3"/>
        <v>20</v>
      </c>
      <c r="N28" s="69">
        <v>8</v>
      </c>
      <c r="O28" s="69">
        <v>2</v>
      </c>
      <c r="P28" s="69">
        <v>8</v>
      </c>
      <c r="Q28" s="69">
        <v>4</v>
      </c>
      <c r="R28" s="69">
        <v>1.5</v>
      </c>
      <c r="S28" s="69">
        <v>2</v>
      </c>
      <c r="T28" s="69">
        <v>5.5</v>
      </c>
      <c r="U28" s="69">
        <v>4</v>
      </c>
      <c r="V28" s="69">
        <v>2</v>
      </c>
      <c r="W28" s="69">
        <v>5.4</v>
      </c>
      <c r="X28" s="69">
        <v>4</v>
      </c>
      <c r="Y28" s="69">
        <v>3</v>
      </c>
      <c r="Z28" s="69">
        <v>5</v>
      </c>
      <c r="AA28" s="68">
        <f t="shared" si="4"/>
        <v>94.4</v>
      </c>
      <c r="AB28" s="109">
        <f>RANK(AA28,$AA$26:$AA$28)</f>
        <v>2</v>
      </c>
      <c r="AC28" s="69"/>
      <c r="AD28" s="30">
        <v>11.9</v>
      </c>
      <c r="AE28" s="30">
        <v>12.5</v>
      </c>
      <c r="AF28" s="30">
        <v>11</v>
      </c>
      <c r="AG28" s="30">
        <v>11.55</v>
      </c>
      <c r="AH28" s="30"/>
      <c r="AI28" s="115">
        <f t="shared" si="6"/>
        <v>11.737500000000001</v>
      </c>
      <c r="AK28" s="30">
        <v>12.56</v>
      </c>
      <c r="AL28" s="30">
        <v>10.130000000000001</v>
      </c>
      <c r="AM28" s="30">
        <v>10.83</v>
      </c>
      <c r="AN28" s="30">
        <v>12.96</v>
      </c>
      <c r="AO28" s="30"/>
      <c r="AP28" s="30">
        <f t="shared" si="7"/>
        <v>11.620000000000001</v>
      </c>
    </row>
    <row r="29" spans="1:42">
      <c r="A29" s="8" t="s">
        <v>110</v>
      </c>
      <c r="B29" s="18" t="s">
        <v>285</v>
      </c>
      <c r="C29" s="19" t="s">
        <v>210</v>
      </c>
      <c r="D29" s="19"/>
      <c r="E29" s="20">
        <v>0.27777777777777801</v>
      </c>
      <c r="F29" s="20">
        <v>0.30987268518518518</v>
      </c>
      <c r="G29" s="20">
        <v>0.48732638888888885</v>
      </c>
      <c r="H29" s="21">
        <v>3.4722222222222224E-2</v>
      </c>
      <c r="I29" s="21">
        <v>0.25</v>
      </c>
      <c r="J29" s="21">
        <f t="shared" si="0"/>
        <v>3.2094907407407169E-2</v>
      </c>
      <c r="K29" s="21">
        <f t="shared" si="1"/>
        <v>0.20954861111111084</v>
      </c>
      <c r="L29" s="22">
        <f t="shared" si="2"/>
        <v>20</v>
      </c>
      <c r="M29" s="22">
        <f t="shared" si="3"/>
        <v>20</v>
      </c>
      <c r="N29" s="23">
        <v>7.4</v>
      </c>
      <c r="O29" s="23">
        <v>2</v>
      </c>
      <c r="P29" s="23">
        <v>6.8</v>
      </c>
      <c r="Q29" s="23">
        <v>4</v>
      </c>
      <c r="R29" s="23">
        <v>1.2</v>
      </c>
      <c r="S29" s="23">
        <v>1.7</v>
      </c>
      <c r="T29" s="23">
        <v>5</v>
      </c>
      <c r="U29" s="23">
        <v>2.8</v>
      </c>
      <c r="V29" s="23">
        <v>1.8</v>
      </c>
      <c r="W29" s="23">
        <v>6</v>
      </c>
      <c r="X29" s="23">
        <v>3.5</v>
      </c>
      <c r="Y29" s="23">
        <v>2.4</v>
      </c>
      <c r="Z29" s="23">
        <v>4.9000000000000004</v>
      </c>
      <c r="AA29" s="22">
        <f t="shared" si="4"/>
        <v>89.5</v>
      </c>
      <c r="AB29" s="110">
        <f t="shared" ref="AB29:AB34" si="9">RANK(AA29,$AA$29:$AA$35)</f>
        <v>3</v>
      </c>
      <c r="AC29" s="23"/>
      <c r="AD29" s="30">
        <v>12.2</v>
      </c>
      <c r="AE29" s="30">
        <v>11.9</v>
      </c>
      <c r="AF29" s="30">
        <v>11.8</v>
      </c>
      <c r="AG29" s="30">
        <v>12.3</v>
      </c>
      <c r="AH29" s="30"/>
      <c r="AI29" s="115">
        <f t="shared" si="6"/>
        <v>12.05</v>
      </c>
      <c r="AK29" s="30">
        <v>11.62</v>
      </c>
      <c r="AL29" s="30">
        <v>11.8</v>
      </c>
      <c r="AM29" s="30">
        <v>11.98</v>
      </c>
      <c r="AN29" s="30">
        <v>12.17</v>
      </c>
      <c r="AO29" s="30"/>
      <c r="AP29" s="30">
        <f t="shared" si="7"/>
        <v>11.892500000000002</v>
      </c>
    </row>
    <row r="30" spans="1:42">
      <c r="A30" s="3" t="s">
        <v>110</v>
      </c>
      <c r="B30" s="9" t="s">
        <v>286</v>
      </c>
      <c r="C30" s="10" t="s">
        <v>211</v>
      </c>
      <c r="D30" s="10"/>
      <c r="E30" s="16">
        <v>0.27847222222222201</v>
      </c>
      <c r="F30" s="16">
        <v>0.31153935185185183</v>
      </c>
      <c r="G30" s="16">
        <v>0.53246527777777775</v>
      </c>
      <c r="H30" s="4">
        <v>3.4722222222222224E-2</v>
      </c>
      <c r="I30" s="4">
        <v>0.25</v>
      </c>
      <c r="J30" s="4">
        <f t="shared" si="0"/>
        <v>3.3067129629629821E-2</v>
      </c>
      <c r="K30" s="4">
        <f t="shared" si="1"/>
        <v>0.25399305555555574</v>
      </c>
      <c r="L30" s="5">
        <f t="shared" si="2"/>
        <v>20</v>
      </c>
      <c r="M30" s="5">
        <f t="shared" si="3"/>
        <v>17.100000000000001</v>
      </c>
      <c r="N30" s="17">
        <v>5</v>
      </c>
      <c r="O30" s="17">
        <v>1.5</v>
      </c>
      <c r="P30" s="17">
        <v>6.3</v>
      </c>
      <c r="Q30" s="17">
        <v>4</v>
      </c>
      <c r="R30" s="17">
        <v>2.2000000000000002</v>
      </c>
      <c r="S30" s="17">
        <v>1.2</v>
      </c>
      <c r="T30" s="17">
        <v>3</v>
      </c>
      <c r="U30" s="17">
        <v>3</v>
      </c>
      <c r="V30" s="17">
        <v>1.4</v>
      </c>
      <c r="W30" s="17">
        <v>5.6</v>
      </c>
      <c r="X30" s="17">
        <v>3</v>
      </c>
      <c r="Y30" s="17">
        <v>3</v>
      </c>
      <c r="Z30" s="17">
        <v>5</v>
      </c>
      <c r="AA30" s="5">
        <f t="shared" si="4"/>
        <v>81.3</v>
      </c>
      <c r="AB30" s="108">
        <f t="shared" si="9"/>
        <v>7</v>
      </c>
      <c r="AC30" s="17"/>
      <c r="AD30" s="30">
        <v>11.65</v>
      </c>
      <c r="AE30" s="30">
        <v>13.5</v>
      </c>
      <c r="AF30" s="30">
        <v>11.6</v>
      </c>
      <c r="AG30" s="30"/>
      <c r="AH30" s="30"/>
      <c r="AI30" s="115">
        <f t="shared" si="6"/>
        <v>12.25</v>
      </c>
      <c r="AK30" s="30">
        <v>11.53</v>
      </c>
      <c r="AL30" s="30">
        <v>11.12</v>
      </c>
      <c r="AM30" s="30">
        <v>13.32</v>
      </c>
      <c r="AN30" s="30"/>
      <c r="AO30" s="30"/>
      <c r="AP30" s="30">
        <f t="shared" si="7"/>
        <v>11.99</v>
      </c>
    </row>
    <row r="31" spans="1:42">
      <c r="A31" s="3" t="s">
        <v>110</v>
      </c>
      <c r="B31" s="9" t="s">
        <v>287</v>
      </c>
      <c r="C31" s="19" t="s">
        <v>212</v>
      </c>
      <c r="D31" s="10"/>
      <c r="E31" s="16">
        <v>0.27916666666666701</v>
      </c>
      <c r="F31" s="16">
        <v>0.31145833333333334</v>
      </c>
      <c r="G31" s="16">
        <v>0.48018518518518521</v>
      </c>
      <c r="H31" s="4">
        <v>3.4722222222222224E-2</v>
      </c>
      <c r="I31" s="4">
        <v>0.25</v>
      </c>
      <c r="J31" s="4">
        <f t="shared" si="0"/>
        <v>3.229166666666633E-2</v>
      </c>
      <c r="K31" s="4">
        <f t="shared" si="1"/>
        <v>0.20101851851851821</v>
      </c>
      <c r="L31" s="5">
        <f t="shared" si="2"/>
        <v>20</v>
      </c>
      <c r="M31" s="5">
        <f t="shared" si="3"/>
        <v>20</v>
      </c>
      <c r="N31" s="17">
        <v>7.1</v>
      </c>
      <c r="O31" s="17">
        <v>1.5</v>
      </c>
      <c r="P31" s="17">
        <v>6.5</v>
      </c>
      <c r="Q31" s="17">
        <v>3.5</v>
      </c>
      <c r="R31" s="17">
        <v>1.7</v>
      </c>
      <c r="S31" s="17">
        <v>1.6</v>
      </c>
      <c r="T31" s="17">
        <v>6</v>
      </c>
      <c r="U31" s="17">
        <v>3.2</v>
      </c>
      <c r="V31" s="17">
        <v>1.8</v>
      </c>
      <c r="W31" s="17">
        <v>5.8</v>
      </c>
      <c r="X31" s="17">
        <v>3</v>
      </c>
      <c r="Y31" s="17">
        <v>3</v>
      </c>
      <c r="Z31" s="17">
        <v>5</v>
      </c>
      <c r="AA31" s="5">
        <f t="shared" si="4"/>
        <v>89.7</v>
      </c>
      <c r="AB31" s="108">
        <f t="shared" si="9"/>
        <v>2</v>
      </c>
      <c r="AC31" s="17"/>
      <c r="AD31" s="30">
        <v>10.95</v>
      </c>
      <c r="AE31" s="30">
        <v>12.9</v>
      </c>
      <c r="AF31" s="30">
        <v>12.3</v>
      </c>
      <c r="AG31" s="30"/>
      <c r="AH31" s="30"/>
      <c r="AI31" s="115">
        <f t="shared" si="6"/>
        <v>12.050000000000002</v>
      </c>
      <c r="AK31" s="30">
        <v>10.81</v>
      </c>
      <c r="AL31" s="30">
        <v>12.29</v>
      </c>
      <c r="AM31" s="30">
        <v>12.72</v>
      </c>
      <c r="AN31" s="30"/>
      <c r="AO31" s="30"/>
      <c r="AP31" s="30">
        <f t="shared" si="7"/>
        <v>11.94</v>
      </c>
    </row>
    <row r="32" spans="1:42">
      <c r="A32" s="3" t="s">
        <v>110</v>
      </c>
      <c r="B32" s="9" t="s">
        <v>265</v>
      </c>
      <c r="C32" s="10" t="s">
        <v>217</v>
      </c>
      <c r="D32" s="10"/>
      <c r="E32" s="16">
        <v>0.27986111111111101</v>
      </c>
      <c r="F32" s="16">
        <v>0.31131944444444443</v>
      </c>
      <c r="G32" s="16">
        <v>0.46884259259259259</v>
      </c>
      <c r="H32" s="4">
        <v>3.4722222222222224E-2</v>
      </c>
      <c r="I32" s="4">
        <v>0.25</v>
      </c>
      <c r="J32" s="4">
        <f t="shared" si="0"/>
        <v>3.1458333333333421E-2</v>
      </c>
      <c r="K32" s="4">
        <f t="shared" si="1"/>
        <v>0.18898148148148158</v>
      </c>
      <c r="L32" s="5">
        <f t="shared" si="2"/>
        <v>20</v>
      </c>
      <c r="M32" s="5">
        <f t="shared" si="3"/>
        <v>20</v>
      </c>
      <c r="N32" s="17">
        <v>7</v>
      </c>
      <c r="O32" s="17">
        <v>2</v>
      </c>
      <c r="P32" s="17">
        <v>7.8</v>
      </c>
      <c r="Q32" s="17">
        <v>4</v>
      </c>
      <c r="R32" s="17">
        <v>0.8</v>
      </c>
      <c r="S32" s="17">
        <v>1.1000000000000001</v>
      </c>
      <c r="T32" s="17">
        <v>5</v>
      </c>
      <c r="U32" s="17"/>
      <c r="V32" s="17">
        <v>1.2</v>
      </c>
      <c r="W32" s="17">
        <v>6</v>
      </c>
      <c r="X32" s="17">
        <v>2.5</v>
      </c>
      <c r="Y32" s="17">
        <v>3</v>
      </c>
      <c r="Z32" s="17">
        <v>5</v>
      </c>
      <c r="AA32" s="5">
        <f t="shared" si="4"/>
        <v>85.399999999999991</v>
      </c>
      <c r="AB32" s="108">
        <f t="shared" si="9"/>
        <v>4</v>
      </c>
      <c r="AC32" s="17"/>
      <c r="AD32" s="30">
        <v>13.7</v>
      </c>
      <c r="AE32" s="30">
        <v>12.85</v>
      </c>
      <c r="AF32" s="30"/>
      <c r="AG32" s="30"/>
      <c r="AH32" s="30"/>
      <c r="AI32" s="115">
        <f t="shared" si="6"/>
        <v>13.274999999999999</v>
      </c>
      <c r="AK32" s="30">
        <v>13.36</v>
      </c>
      <c r="AL32" s="30">
        <v>12.93</v>
      </c>
      <c r="AM32" s="30"/>
      <c r="AN32" s="30"/>
      <c r="AO32" s="30"/>
      <c r="AP32" s="30">
        <f t="shared" si="7"/>
        <v>13.145</v>
      </c>
    </row>
    <row r="33" spans="1:42">
      <c r="A33" s="3" t="s">
        <v>110</v>
      </c>
      <c r="B33" s="9" t="s">
        <v>288</v>
      </c>
      <c r="C33" s="19" t="s">
        <v>291</v>
      </c>
      <c r="D33" s="10"/>
      <c r="E33" s="16">
        <v>0.280555555555556</v>
      </c>
      <c r="F33" s="16">
        <v>0.32013888888888892</v>
      </c>
      <c r="G33" s="16">
        <v>0.48554398148148148</v>
      </c>
      <c r="H33" s="4">
        <v>3.4722222222222224E-2</v>
      </c>
      <c r="I33" s="4">
        <v>0.25</v>
      </c>
      <c r="J33" s="4">
        <f t="shared" si="0"/>
        <v>3.9583333333332915E-2</v>
      </c>
      <c r="K33" s="4">
        <f t="shared" si="1"/>
        <v>0.20498842592592548</v>
      </c>
      <c r="L33" s="5">
        <f t="shared" si="2"/>
        <v>16.5</v>
      </c>
      <c r="M33" s="5">
        <f t="shared" si="3"/>
        <v>20</v>
      </c>
      <c r="N33" s="17">
        <v>6.5</v>
      </c>
      <c r="O33" s="17">
        <v>1.5</v>
      </c>
      <c r="P33" s="17">
        <v>6.3</v>
      </c>
      <c r="Q33" s="17">
        <v>4</v>
      </c>
      <c r="R33" s="17">
        <v>3.1</v>
      </c>
      <c r="S33" s="17">
        <v>1.7</v>
      </c>
      <c r="T33" s="17">
        <v>1</v>
      </c>
      <c r="U33" s="17">
        <v>2</v>
      </c>
      <c r="V33" s="17">
        <v>2</v>
      </c>
      <c r="W33" s="17">
        <v>5.8</v>
      </c>
      <c r="X33" s="17">
        <v>3.5</v>
      </c>
      <c r="Y33" s="17">
        <v>3</v>
      </c>
      <c r="Z33" s="17">
        <v>5</v>
      </c>
      <c r="AA33" s="5">
        <f t="shared" si="4"/>
        <v>81.899999999999991</v>
      </c>
      <c r="AB33" s="108">
        <f t="shared" si="9"/>
        <v>6</v>
      </c>
      <c r="AC33" s="17"/>
      <c r="AD33" s="30">
        <v>11.05</v>
      </c>
      <c r="AE33" s="30">
        <v>12.35</v>
      </c>
      <c r="AF33" s="30">
        <v>11.65</v>
      </c>
      <c r="AG33" s="30">
        <v>9.35</v>
      </c>
      <c r="AH33" s="30"/>
      <c r="AI33" s="115">
        <f t="shared" si="6"/>
        <v>11.1</v>
      </c>
      <c r="AK33" s="30">
        <v>12.4</v>
      </c>
      <c r="AL33" s="30">
        <v>11.92</v>
      </c>
      <c r="AM33" s="30">
        <v>10.050000000000001</v>
      </c>
      <c r="AN33" s="30">
        <v>10.039999999999999</v>
      </c>
      <c r="AO33" s="30"/>
      <c r="AP33" s="30">
        <f t="shared" si="7"/>
        <v>11.102500000000001</v>
      </c>
    </row>
    <row r="34" spans="1:42">
      <c r="A34" s="3" t="s">
        <v>110</v>
      </c>
      <c r="B34" s="9" t="s">
        <v>289</v>
      </c>
      <c r="C34" s="10" t="s">
        <v>292</v>
      </c>
      <c r="D34" s="10"/>
      <c r="E34" s="16">
        <v>0.28125</v>
      </c>
      <c r="F34" s="16">
        <v>0.31070601851851853</v>
      </c>
      <c r="G34" s="16">
        <v>0.4881712962962963</v>
      </c>
      <c r="H34" s="4">
        <v>3.4722222222222224E-2</v>
      </c>
      <c r="I34" s="4">
        <v>0.25</v>
      </c>
      <c r="J34" s="4">
        <f t="shared" si="0"/>
        <v>2.9456018518518534E-2</v>
      </c>
      <c r="K34" s="4">
        <f t="shared" si="1"/>
        <v>0.2069212962962963</v>
      </c>
      <c r="L34" s="5">
        <f t="shared" si="2"/>
        <v>20</v>
      </c>
      <c r="M34" s="5">
        <f t="shared" si="3"/>
        <v>20</v>
      </c>
      <c r="N34" s="17">
        <v>5.0999999999999996</v>
      </c>
      <c r="O34" s="17">
        <v>2</v>
      </c>
      <c r="P34" s="17">
        <v>7.8</v>
      </c>
      <c r="Q34" s="17">
        <v>3.5</v>
      </c>
      <c r="R34" s="17">
        <v>1.5</v>
      </c>
      <c r="S34" s="17">
        <v>2</v>
      </c>
      <c r="T34" s="17">
        <v>5</v>
      </c>
      <c r="U34" s="17"/>
      <c r="V34" s="17">
        <v>1.4</v>
      </c>
      <c r="W34" s="17">
        <v>5</v>
      </c>
      <c r="X34" s="17">
        <v>3.5</v>
      </c>
      <c r="Y34" s="17">
        <v>2.4</v>
      </c>
      <c r="Z34" s="17">
        <v>5</v>
      </c>
      <c r="AA34" s="5">
        <f t="shared" si="4"/>
        <v>84.200000000000017</v>
      </c>
      <c r="AB34" s="108">
        <f t="shared" si="9"/>
        <v>5</v>
      </c>
      <c r="AC34" s="17" t="s">
        <v>188</v>
      </c>
      <c r="AD34" s="30">
        <v>15.5</v>
      </c>
      <c r="AE34" s="30">
        <v>11.9</v>
      </c>
      <c r="AF34" s="30"/>
      <c r="AG34" s="30"/>
      <c r="AH34" s="30"/>
      <c r="AI34" s="115">
        <f t="shared" si="6"/>
        <v>13.7</v>
      </c>
      <c r="AK34" s="30">
        <v>15.57</v>
      </c>
      <c r="AL34" s="30">
        <v>11.76</v>
      </c>
      <c r="AM34" s="30"/>
      <c r="AN34" s="30"/>
      <c r="AO34" s="30"/>
      <c r="AP34" s="30">
        <f t="shared" si="7"/>
        <v>13.664999999999999</v>
      </c>
    </row>
    <row r="35" spans="1:42">
      <c r="A35" s="3" t="s">
        <v>110</v>
      </c>
      <c r="B35" s="9" t="s">
        <v>290</v>
      </c>
      <c r="C35" s="19" t="s">
        <v>293</v>
      </c>
      <c r="D35" s="10"/>
      <c r="E35" s="16">
        <v>0.281944444444444</v>
      </c>
      <c r="F35" s="16">
        <v>0.31457175925925923</v>
      </c>
      <c r="G35" s="16">
        <v>0.49784722222222227</v>
      </c>
      <c r="H35" s="4">
        <v>3.4722222222222224E-2</v>
      </c>
      <c r="I35" s="4">
        <v>0.25</v>
      </c>
      <c r="J35" s="4">
        <f t="shared" si="0"/>
        <v>3.2627314814815234E-2</v>
      </c>
      <c r="K35" s="4">
        <f t="shared" si="1"/>
        <v>0.21590277777777828</v>
      </c>
      <c r="L35" s="5">
        <f t="shared" si="2"/>
        <v>20</v>
      </c>
      <c r="M35" s="5">
        <f t="shared" si="3"/>
        <v>20</v>
      </c>
      <c r="N35" s="17">
        <v>8</v>
      </c>
      <c r="O35" s="17">
        <v>2</v>
      </c>
      <c r="P35" s="17">
        <v>7.6</v>
      </c>
      <c r="Q35" s="17">
        <v>4</v>
      </c>
      <c r="R35" s="17">
        <v>2.2000000000000002</v>
      </c>
      <c r="S35" s="17">
        <v>1.5</v>
      </c>
      <c r="T35" s="17">
        <v>4</v>
      </c>
      <c r="U35" s="17">
        <v>2.8</v>
      </c>
      <c r="V35" s="17">
        <v>0.6</v>
      </c>
      <c r="W35" s="17">
        <v>6</v>
      </c>
      <c r="X35" s="17">
        <v>3.5</v>
      </c>
      <c r="Y35" s="17">
        <v>3</v>
      </c>
      <c r="Z35" s="17">
        <v>5</v>
      </c>
      <c r="AA35" s="5">
        <f t="shared" si="4"/>
        <v>90.2</v>
      </c>
      <c r="AB35" s="108">
        <f>RANK(AA35,$AA$29:$AA$35)</f>
        <v>1</v>
      </c>
      <c r="AC35" s="17"/>
      <c r="AD35" s="30">
        <v>12.2</v>
      </c>
      <c r="AE35" s="30">
        <v>11.5</v>
      </c>
      <c r="AF35" s="30">
        <v>12.65</v>
      </c>
      <c r="AG35" s="30">
        <v>9.75</v>
      </c>
      <c r="AH35" s="30">
        <v>12.5</v>
      </c>
      <c r="AI35" s="115">
        <f t="shared" si="6"/>
        <v>11.72</v>
      </c>
      <c r="AK35" s="30">
        <v>12.19</v>
      </c>
      <c r="AL35" s="30">
        <v>12.57</v>
      </c>
      <c r="AM35" s="30">
        <v>11.56</v>
      </c>
      <c r="AN35" s="30">
        <v>9.7899999999999991</v>
      </c>
      <c r="AO35" s="30">
        <v>12.63</v>
      </c>
      <c r="AP35" s="30">
        <f t="shared" si="7"/>
        <v>11.748000000000001</v>
      </c>
    </row>
    <row r="36" spans="1:42" s="6" customFormat="1">
      <c r="B36" s="11"/>
      <c r="C36" s="49"/>
      <c r="D36" s="49"/>
      <c r="E36" s="13"/>
      <c r="F36" s="13"/>
      <c r="G36" s="13"/>
      <c r="H36" s="13"/>
      <c r="I36" s="13"/>
      <c r="J36" s="13"/>
      <c r="K36" s="13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42" s="6" customFormat="1">
      <c r="B37" s="11" t="s">
        <v>167</v>
      </c>
      <c r="C37" s="49"/>
      <c r="D37" s="49"/>
      <c r="E37" s="13"/>
      <c r="F37" s="13"/>
      <c r="G37" s="13"/>
      <c r="H37" s="13"/>
      <c r="I37" s="13"/>
      <c r="J37" s="13"/>
      <c r="K37" s="13"/>
      <c r="L37" s="50"/>
      <c r="M37" s="50"/>
      <c r="N37" s="51">
        <f t="shared" ref="N37:AA37" si="10">MAX(N3:N35)</f>
        <v>8</v>
      </c>
      <c r="O37" s="51">
        <f t="shared" si="10"/>
        <v>2</v>
      </c>
      <c r="P37" s="51">
        <f t="shared" si="10"/>
        <v>8</v>
      </c>
      <c r="Q37" s="51">
        <f t="shared" si="10"/>
        <v>4</v>
      </c>
      <c r="R37" s="51">
        <f t="shared" si="10"/>
        <v>4.7</v>
      </c>
      <c r="S37" s="51">
        <f t="shared" si="10"/>
        <v>2</v>
      </c>
      <c r="T37" s="51">
        <f t="shared" si="10"/>
        <v>7</v>
      </c>
      <c r="U37" s="51">
        <f t="shared" si="10"/>
        <v>4</v>
      </c>
      <c r="V37" s="51">
        <f t="shared" si="10"/>
        <v>2</v>
      </c>
      <c r="W37" s="51">
        <f t="shared" si="10"/>
        <v>6</v>
      </c>
      <c r="X37" s="51">
        <f t="shared" si="10"/>
        <v>4</v>
      </c>
      <c r="Y37" s="51">
        <f t="shared" si="10"/>
        <v>3</v>
      </c>
      <c r="Z37" s="51">
        <f t="shared" si="10"/>
        <v>5</v>
      </c>
      <c r="AA37" s="51">
        <f t="shared" si="10"/>
        <v>99.399999999999991</v>
      </c>
      <c r="AB37" s="51"/>
    </row>
    <row r="38" spans="1:42" s="6" customFormat="1">
      <c r="B38" s="11" t="s">
        <v>168</v>
      </c>
      <c r="C38" s="49"/>
      <c r="D38" s="49"/>
      <c r="E38" s="13"/>
      <c r="F38" s="13"/>
      <c r="G38" s="13"/>
      <c r="H38" s="13"/>
      <c r="I38" s="13"/>
      <c r="J38" s="13"/>
      <c r="K38" s="13"/>
      <c r="L38" s="50"/>
      <c r="M38" s="50"/>
      <c r="N38" s="51">
        <f t="shared" ref="N38:AA38" si="11">MIN(N3:N35)</f>
        <v>3.1</v>
      </c>
      <c r="O38" s="51">
        <f t="shared" si="11"/>
        <v>1</v>
      </c>
      <c r="P38" s="51">
        <f t="shared" si="11"/>
        <v>0</v>
      </c>
      <c r="Q38" s="51">
        <f t="shared" si="11"/>
        <v>2.5</v>
      </c>
      <c r="R38" s="51">
        <f t="shared" si="11"/>
        <v>0.4</v>
      </c>
      <c r="S38" s="51">
        <f t="shared" si="11"/>
        <v>0.7</v>
      </c>
      <c r="T38" s="51">
        <f t="shared" si="11"/>
        <v>1</v>
      </c>
      <c r="U38" s="51">
        <f t="shared" si="11"/>
        <v>2</v>
      </c>
      <c r="V38" s="51">
        <f t="shared" si="11"/>
        <v>0.4</v>
      </c>
      <c r="W38" s="51">
        <f t="shared" si="11"/>
        <v>3.2</v>
      </c>
      <c r="X38" s="51">
        <f t="shared" si="11"/>
        <v>2</v>
      </c>
      <c r="Y38" s="51">
        <f t="shared" si="11"/>
        <v>1.2</v>
      </c>
      <c r="Z38" s="51">
        <f t="shared" si="11"/>
        <v>3.9</v>
      </c>
      <c r="AA38" s="51">
        <f t="shared" si="11"/>
        <v>40</v>
      </c>
      <c r="AB38" s="51"/>
    </row>
    <row r="39" spans="1:42" s="6" customFormat="1">
      <c r="B39" s="11" t="s">
        <v>166</v>
      </c>
      <c r="C39" s="49"/>
      <c r="D39" s="49"/>
      <c r="E39" s="13"/>
      <c r="F39" s="13"/>
      <c r="G39" s="13"/>
      <c r="H39" s="13"/>
      <c r="I39" s="13"/>
      <c r="J39" s="13"/>
      <c r="K39" s="13"/>
      <c r="L39" s="50"/>
      <c r="M39" s="50"/>
      <c r="N39" s="51">
        <f t="shared" ref="N39:AA39" si="12">AVERAGE(N3:N35)</f>
        <v>6.5843750000000014</v>
      </c>
      <c r="O39" s="51">
        <f t="shared" si="12"/>
        <v>1.828125</v>
      </c>
      <c r="P39" s="51">
        <f t="shared" si="12"/>
        <v>6.8593750000000018</v>
      </c>
      <c r="Q39" s="51">
        <f t="shared" si="12"/>
        <v>3.734375</v>
      </c>
      <c r="R39" s="51">
        <f t="shared" si="12"/>
        <v>2.2593749999999999</v>
      </c>
      <c r="S39" s="51">
        <f t="shared" si="12"/>
        <v>1.5781250000000004</v>
      </c>
      <c r="T39" s="51">
        <f t="shared" si="12"/>
        <v>5</v>
      </c>
      <c r="U39" s="51">
        <f t="shared" si="12"/>
        <v>3.0799999999999996</v>
      </c>
      <c r="V39" s="51">
        <f t="shared" si="12"/>
        <v>1.5812499999999998</v>
      </c>
      <c r="W39" s="51">
        <f t="shared" si="12"/>
        <v>5.515625</v>
      </c>
      <c r="X39" s="51">
        <f t="shared" si="12"/>
        <v>3.234375</v>
      </c>
      <c r="Y39" s="51">
        <f t="shared" si="12"/>
        <v>2.7562500000000001</v>
      </c>
      <c r="Z39" s="51">
        <f t="shared" si="12"/>
        <v>4.9156250000000004</v>
      </c>
      <c r="AA39" s="51">
        <f t="shared" si="12"/>
        <v>86.887878787878776</v>
      </c>
      <c r="AB39" s="51"/>
    </row>
    <row r="40" spans="1:42" s="6" customFormat="1">
      <c r="B40" s="11" t="s">
        <v>179</v>
      </c>
      <c r="C40" s="49"/>
      <c r="D40" s="49"/>
      <c r="E40" s="13"/>
      <c r="F40" s="13"/>
      <c r="G40" s="13"/>
      <c r="H40" s="13"/>
      <c r="I40" s="13"/>
      <c r="J40" s="13"/>
      <c r="K40" s="13"/>
      <c r="L40" s="50"/>
      <c r="M40" s="50"/>
      <c r="N40" s="71">
        <f t="shared" ref="N40:AA40" si="13">N39/N2</f>
        <v>0.82304687500000018</v>
      </c>
      <c r="O40" s="71">
        <f t="shared" si="13"/>
        <v>0.9140625</v>
      </c>
      <c r="P40" s="71">
        <f t="shared" si="13"/>
        <v>0.85742187500000022</v>
      </c>
      <c r="Q40" s="71">
        <f t="shared" si="13"/>
        <v>0.93359375</v>
      </c>
      <c r="R40" s="71">
        <f t="shared" si="13"/>
        <v>0.45187499999999997</v>
      </c>
      <c r="S40" s="71">
        <f t="shared" si="13"/>
        <v>0.78906250000000022</v>
      </c>
      <c r="T40" s="71">
        <f t="shared" si="13"/>
        <v>0.7142857142857143</v>
      </c>
      <c r="U40" s="71">
        <f t="shared" si="13"/>
        <v>0.76999999999999991</v>
      </c>
      <c r="V40" s="71">
        <f t="shared" si="13"/>
        <v>0.79062499999999991</v>
      </c>
      <c r="W40" s="71">
        <f t="shared" si="13"/>
        <v>0.91927083333333337</v>
      </c>
      <c r="X40" s="71">
        <f t="shared" si="13"/>
        <v>0.80859375</v>
      </c>
      <c r="Y40" s="71">
        <f t="shared" si="13"/>
        <v>0.91875000000000007</v>
      </c>
      <c r="Z40" s="71">
        <f t="shared" si="13"/>
        <v>0.98312500000000003</v>
      </c>
      <c r="AA40" s="71">
        <f t="shared" si="13"/>
        <v>0.86887878787878781</v>
      </c>
      <c r="AB40" s="71"/>
    </row>
    <row r="41" spans="1:42" s="6" customFormat="1">
      <c r="B41" s="11"/>
      <c r="C41" s="49"/>
      <c r="D41" s="49"/>
      <c r="E41" s="13"/>
      <c r="F41" s="13"/>
      <c r="G41" s="13"/>
      <c r="H41" s="13"/>
      <c r="I41" s="13"/>
      <c r="J41" s="13"/>
      <c r="K41" s="13"/>
      <c r="L41" s="50"/>
      <c r="M41" s="50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42" s="6" customFormat="1">
      <c r="B42" s="11" t="s">
        <v>121</v>
      </c>
      <c r="C42" s="49"/>
      <c r="D42" s="49"/>
      <c r="E42" s="13"/>
      <c r="F42" s="13"/>
      <c r="G42" s="13"/>
      <c r="H42" s="13"/>
      <c r="I42" s="13"/>
      <c r="J42" s="13"/>
      <c r="K42" s="13"/>
      <c r="L42" s="50"/>
      <c r="M42" s="50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spans="1:42" s="6" customFormat="1">
      <c r="B43" s="11"/>
      <c r="C43" s="49"/>
      <c r="D43" s="49"/>
      <c r="E43" s="13"/>
      <c r="F43" s="13"/>
      <c r="G43" s="13"/>
      <c r="H43" s="13"/>
      <c r="I43" s="13"/>
      <c r="J43" s="13"/>
      <c r="K43" s="13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</row>
  </sheetData>
  <phoneticPr fontId="2"/>
  <conditionalFormatting sqref="AI3:AI35 AP3:AP35">
    <cfRule type="cellIs" dxfId="1" priority="1" stopIfTrue="1" operator="lessThan">
      <formula>11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view="pageBreakPreview" zoomScaleNormal="130" zoomScaleSheetLayoutView="10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L33" sqref="L33:M36"/>
    </sheetView>
  </sheetViews>
  <sheetFormatPr defaultRowHeight="13.5"/>
  <cols>
    <col min="1" max="1" width="3.75" style="6" bestFit="1" customWidth="1"/>
    <col min="2" max="2" width="11.375" style="11" bestFit="1" customWidth="1"/>
    <col min="3" max="3" width="7" style="12" bestFit="1" customWidth="1"/>
    <col min="4" max="4" width="10.25" style="12" customWidth="1"/>
    <col min="5" max="5" width="6.625" style="13" customWidth="1"/>
    <col min="6" max="7" width="7.625" style="13" customWidth="1"/>
    <col min="8" max="11" width="6.625" style="13" customWidth="1"/>
    <col min="12" max="13" width="6.625" style="15" customWidth="1"/>
    <col min="14" max="26" width="6.625" customWidth="1"/>
    <col min="27" max="27" width="15.25" customWidth="1"/>
  </cols>
  <sheetData>
    <row r="1" spans="1:41" s="1" customFormat="1">
      <c r="A1" s="31" t="s">
        <v>84</v>
      </c>
      <c r="B1" s="32" t="s">
        <v>85</v>
      </c>
      <c r="C1" s="32" t="s">
        <v>225</v>
      </c>
      <c r="D1" s="32" t="s">
        <v>86</v>
      </c>
      <c r="E1" s="33" t="s">
        <v>97</v>
      </c>
      <c r="F1" s="33" t="s">
        <v>98</v>
      </c>
      <c r="G1" s="33" t="s">
        <v>99</v>
      </c>
      <c r="H1" s="34" t="s">
        <v>94</v>
      </c>
      <c r="I1" s="34" t="s">
        <v>95</v>
      </c>
      <c r="J1" s="34" t="s">
        <v>87</v>
      </c>
      <c r="K1" s="34" t="s">
        <v>88</v>
      </c>
      <c r="L1" s="35" t="s">
        <v>100</v>
      </c>
      <c r="M1" s="35" t="s">
        <v>101</v>
      </c>
      <c r="N1" s="36" t="s">
        <v>311</v>
      </c>
      <c r="O1" s="36" t="s">
        <v>0</v>
      </c>
      <c r="P1" s="36" t="s">
        <v>1</v>
      </c>
      <c r="Q1" s="36" t="s">
        <v>196</v>
      </c>
      <c r="R1" s="36" t="s">
        <v>297</v>
      </c>
      <c r="S1" s="36" t="s">
        <v>5</v>
      </c>
      <c r="T1" s="36" t="s">
        <v>139</v>
      </c>
      <c r="U1" s="36" t="s">
        <v>6</v>
      </c>
      <c r="V1" s="36" t="s">
        <v>7</v>
      </c>
      <c r="W1" s="36" t="s">
        <v>3</v>
      </c>
      <c r="X1" s="36" t="s">
        <v>9</v>
      </c>
      <c r="Y1" s="35" t="s">
        <v>10</v>
      </c>
      <c r="Z1" s="35" t="s">
        <v>89</v>
      </c>
      <c r="AA1" s="36" t="s">
        <v>92</v>
      </c>
      <c r="AB1" s="116" t="s">
        <v>312</v>
      </c>
      <c r="AC1" s="116"/>
      <c r="AD1" s="116"/>
      <c r="AE1" s="116"/>
      <c r="AF1" s="116"/>
      <c r="AG1" s="116"/>
      <c r="AH1" s="116" t="s">
        <v>313</v>
      </c>
      <c r="AI1" s="116"/>
      <c r="AJ1" s="116"/>
      <c r="AK1" s="116"/>
      <c r="AL1" s="116"/>
      <c r="AM1" s="116" t="s">
        <v>314</v>
      </c>
      <c r="AN1" s="116" t="s">
        <v>315</v>
      </c>
      <c r="AO1" s="116" t="s">
        <v>316</v>
      </c>
    </row>
    <row r="2" spans="1:41" s="2" customFormat="1">
      <c r="A2" s="37"/>
      <c r="B2" s="114" t="s">
        <v>299</v>
      </c>
      <c r="C2" s="39"/>
      <c r="D2" s="39"/>
      <c r="E2" s="40"/>
      <c r="F2" s="40"/>
      <c r="G2" s="40"/>
      <c r="H2" s="41"/>
      <c r="I2" s="41"/>
      <c r="J2" s="41"/>
      <c r="K2" s="41"/>
      <c r="L2" s="42">
        <v>30</v>
      </c>
      <c r="M2" s="42">
        <v>20</v>
      </c>
      <c r="N2" s="43">
        <v>5</v>
      </c>
      <c r="O2" s="43">
        <v>5</v>
      </c>
      <c r="P2" s="43">
        <v>5</v>
      </c>
      <c r="Q2" s="43">
        <v>4</v>
      </c>
      <c r="R2" s="43">
        <v>4</v>
      </c>
      <c r="S2" s="43">
        <v>4</v>
      </c>
      <c r="T2" s="43">
        <v>4</v>
      </c>
      <c r="U2" s="43">
        <v>2</v>
      </c>
      <c r="V2" s="43">
        <v>2</v>
      </c>
      <c r="W2" s="43">
        <v>10</v>
      </c>
      <c r="X2" s="43">
        <v>5</v>
      </c>
      <c r="Y2" s="42">
        <f t="shared" ref="Y2:Y30" si="0">SUM(L2:X2)</f>
        <v>100</v>
      </c>
      <c r="Z2" s="42"/>
      <c r="AA2" s="113">
        <v>42253</v>
      </c>
      <c r="AB2" s="117">
        <v>1</v>
      </c>
      <c r="AC2" s="117">
        <v>2</v>
      </c>
      <c r="AD2" s="117">
        <v>3</v>
      </c>
      <c r="AE2" s="117">
        <v>4</v>
      </c>
      <c r="AF2" s="117">
        <v>5</v>
      </c>
      <c r="AG2" s="117" t="s">
        <v>317</v>
      </c>
      <c r="AH2" s="117">
        <v>1</v>
      </c>
      <c r="AI2" s="117">
        <v>2</v>
      </c>
      <c r="AJ2" s="117">
        <v>3</v>
      </c>
      <c r="AK2" s="117">
        <v>4</v>
      </c>
      <c r="AL2" s="117">
        <v>5</v>
      </c>
      <c r="AM2" s="117" t="s">
        <v>317</v>
      </c>
      <c r="AN2" s="117"/>
      <c r="AO2" s="117"/>
    </row>
    <row r="3" spans="1:41">
      <c r="A3" s="3" t="s">
        <v>90</v>
      </c>
      <c r="B3" s="9" t="s">
        <v>260</v>
      </c>
      <c r="C3" s="10" t="s">
        <v>213</v>
      </c>
      <c r="D3" s="10"/>
      <c r="E3" s="16">
        <v>0.34722222222222227</v>
      </c>
      <c r="F3" s="16">
        <v>0.36371527777777773</v>
      </c>
      <c r="G3" s="16"/>
      <c r="H3" s="4">
        <v>2.4305555555555556E-2</v>
      </c>
      <c r="I3" s="4">
        <v>0.14583333333333334</v>
      </c>
      <c r="J3" s="4">
        <f>F3-E3</f>
        <v>1.6493055555555469E-2</v>
      </c>
      <c r="K3" s="4">
        <f>G3-E3</f>
        <v>-0.34722222222222227</v>
      </c>
      <c r="L3" s="5">
        <f>MAX(IF(J3-H3&gt;0,L$2-ROUND((J3-H3)*60*24*0.5,1),L$2),0)+AO3</f>
        <v>30</v>
      </c>
      <c r="M3" s="5">
        <f>MAX(IF(K3-I3&gt;0,M$2-ROUND((K3-I3)*60*24*0.5,1),M$2),0)</f>
        <v>20</v>
      </c>
      <c r="N3" s="17">
        <v>5</v>
      </c>
      <c r="O3" s="17">
        <v>5</v>
      </c>
      <c r="P3" s="17">
        <v>5</v>
      </c>
      <c r="Q3" s="17">
        <v>3.2</v>
      </c>
      <c r="R3" s="17">
        <v>3.6</v>
      </c>
      <c r="S3" s="17">
        <v>3.4</v>
      </c>
      <c r="T3" s="17">
        <v>3.7</v>
      </c>
      <c r="U3" s="17">
        <v>2</v>
      </c>
      <c r="V3" s="17">
        <v>2</v>
      </c>
      <c r="W3" s="17">
        <v>7.5</v>
      </c>
      <c r="X3" s="17">
        <v>5</v>
      </c>
      <c r="Y3" s="5">
        <f t="shared" si="0"/>
        <v>95.4</v>
      </c>
      <c r="Z3" s="108">
        <f t="shared" ref="Z3:Z9" si="1">RANK(Y3,Y$3:Y$9)</f>
        <v>2</v>
      </c>
      <c r="AA3" s="17"/>
      <c r="AB3" s="118">
        <v>12.25</v>
      </c>
      <c r="AC3" s="118">
        <v>12.05</v>
      </c>
      <c r="AD3" s="118">
        <v>12.65</v>
      </c>
      <c r="AE3" s="118">
        <v>11.7</v>
      </c>
      <c r="AF3" s="118"/>
      <c r="AG3" s="119">
        <f>AVERAGE(AB3:AF3)</f>
        <v>12.162500000000001</v>
      </c>
      <c r="AH3" s="118"/>
      <c r="AI3" s="118"/>
      <c r="AJ3" s="118"/>
      <c r="AK3" s="118"/>
      <c r="AL3" s="15"/>
      <c r="AM3" s="14" t="e">
        <f>AVERAGE(AH3:AK3)</f>
        <v>#DIV/0!</v>
      </c>
      <c r="AN3" s="120">
        <v>11</v>
      </c>
      <c r="AO3" s="120">
        <f>IF(ISERR(AM3),0,IF(AM3&lt;AN3,AM3-AN3,0))</f>
        <v>0</v>
      </c>
    </row>
    <row r="4" spans="1:41">
      <c r="A4" s="3" t="s">
        <v>90</v>
      </c>
      <c r="B4" s="9" t="s">
        <v>227</v>
      </c>
      <c r="C4" s="10" t="s">
        <v>214</v>
      </c>
      <c r="D4" s="10"/>
      <c r="E4" s="16">
        <v>0.34791666666666665</v>
      </c>
      <c r="F4" s="16">
        <v>0.36674768518518519</v>
      </c>
      <c r="G4" s="16"/>
      <c r="H4" s="4">
        <v>2.4305555555555556E-2</v>
      </c>
      <c r="I4" s="4">
        <v>0.14583333333333334</v>
      </c>
      <c r="J4" s="4">
        <f>F4-E4</f>
        <v>1.8831018518518539E-2</v>
      </c>
      <c r="K4" s="4">
        <f>G4-E4</f>
        <v>-0.34791666666666665</v>
      </c>
      <c r="L4" s="5">
        <f t="shared" ref="L4:L30" si="2">MAX(IF(J4-H4&gt;0,L$2-ROUND((J4-H4)*60*24*0.5+AO4,1),L$2),0)</f>
        <v>30</v>
      </c>
      <c r="M4" s="5">
        <f t="shared" ref="M4:M30" si="3">MAX(IF(K4-I4&gt;0,M$2-ROUND((K4-I4)*60*24*0.5,1),M$2),0)</f>
        <v>20</v>
      </c>
      <c r="N4" s="17">
        <v>5</v>
      </c>
      <c r="O4" s="17">
        <v>4.5</v>
      </c>
      <c r="P4" s="17">
        <v>5</v>
      </c>
      <c r="Q4" s="17">
        <v>2.2000000000000002</v>
      </c>
      <c r="R4" s="17">
        <v>3.4</v>
      </c>
      <c r="S4" s="17">
        <v>4</v>
      </c>
      <c r="T4" s="17">
        <v>3</v>
      </c>
      <c r="U4" s="17">
        <v>1.8</v>
      </c>
      <c r="V4" s="17">
        <v>1.5</v>
      </c>
      <c r="W4" s="17">
        <v>8</v>
      </c>
      <c r="X4" s="17">
        <v>5</v>
      </c>
      <c r="Y4" s="5">
        <f t="shared" si="0"/>
        <v>93.4</v>
      </c>
      <c r="Z4" s="108">
        <f t="shared" si="1"/>
        <v>4</v>
      </c>
      <c r="AA4" s="17"/>
      <c r="AB4" s="118">
        <v>13.05</v>
      </c>
      <c r="AC4" s="118">
        <v>12.1</v>
      </c>
      <c r="AD4" s="118">
        <v>13.2</v>
      </c>
      <c r="AE4" s="118">
        <v>13.1</v>
      </c>
      <c r="AF4" s="118"/>
      <c r="AG4" s="119">
        <f t="shared" ref="AG4:AG30" si="4">AVERAGE(AB4:AF4)</f>
        <v>12.862499999999999</v>
      </c>
      <c r="AH4" s="118"/>
      <c r="AI4" s="118"/>
      <c r="AJ4" s="118"/>
      <c r="AK4" s="118"/>
      <c r="AL4" s="15"/>
      <c r="AM4" s="14" t="e">
        <f t="shared" ref="AM4:AM30" si="5">AVERAGE(AH4:AK4)</f>
        <v>#DIV/0!</v>
      </c>
      <c r="AN4" s="120">
        <v>11</v>
      </c>
      <c r="AO4" s="120">
        <f t="shared" ref="AO4:AO30" si="6">IF(ISERR(AM4),0,IF(AM4&lt;AN4,AM4-AN4,0))</f>
        <v>0</v>
      </c>
    </row>
    <row r="5" spans="1:41">
      <c r="A5" s="3" t="s">
        <v>90</v>
      </c>
      <c r="B5" s="9" t="s">
        <v>146</v>
      </c>
      <c r="C5" s="10" t="s">
        <v>241</v>
      </c>
      <c r="D5" s="10"/>
      <c r="E5" s="16">
        <v>0.34861111111111115</v>
      </c>
      <c r="F5" s="16">
        <v>0.37216435185185182</v>
      </c>
      <c r="G5" s="16"/>
      <c r="H5" s="4">
        <v>2.4305555555555556E-2</v>
      </c>
      <c r="I5" s="4">
        <v>0.14583333333333334</v>
      </c>
      <c r="J5" s="4">
        <f t="shared" ref="J5:J30" si="7">F5-E5</f>
        <v>2.3553240740740666E-2</v>
      </c>
      <c r="K5" s="4">
        <f t="shared" ref="K5:K30" si="8">G5-E5</f>
        <v>-0.34861111111111115</v>
      </c>
      <c r="L5" s="5">
        <f t="shared" si="2"/>
        <v>30</v>
      </c>
      <c r="M5" s="5">
        <f t="shared" si="3"/>
        <v>20</v>
      </c>
      <c r="N5" s="17">
        <v>4</v>
      </c>
      <c r="O5" s="17">
        <v>4.5</v>
      </c>
      <c r="P5" s="17">
        <v>5</v>
      </c>
      <c r="Q5" s="17">
        <v>3.3</v>
      </c>
      <c r="R5" s="17">
        <v>3.4</v>
      </c>
      <c r="S5" s="17">
        <v>2.2000000000000002</v>
      </c>
      <c r="T5" s="17">
        <v>3.6</v>
      </c>
      <c r="U5" s="17">
        <v>1.6</v>
      </c>
      <c r="V5" s="17">
        <v>2</v>
      </c>
      <c r="W5" s="17">
        <v>9.5</v>
      </c>
      <c r="X5" s="17">
        <v>5</v>
      </c>
      <c r="Y5" s="5">
        <f t="shared" si="0"/>
        <v>94.1</v>
      </c>
      <c r="Z5" s="108">
        <f t="shared" si="1"/>
        <v>3</v>
      </c>
      <c r="AA5" s="17"/>
      <c r="AB5" s="118">
        <v>13.25</v>
      </c>
      <c r="AC5" s="118">
        <v>12.5</v>
      </c>
      <c r="AD5" s="118">
        <v>11.85</v>
      </c>
      <c r="AE5" s="118">
        <v>11.55</v>
      </c>
      <c r="AF5" s="118"/>
      <c r="AG5" s="119">
        <f t="shared" si="4"/>
        <v>12.287500000000001</v>
      </c>
      <c r="AH5" s="118"/>
      <c r="AI5" s="118"/>
      <c r="AJ5" s="118"/>
      <c r="AK5" s="118"/>
      <c r="AL5" s="15"/>
      <c r="AM5" s="14" t="e">
        <f t="shared" si="5"/>
        <v>#DIV/0!</v>
      </c>
      <c r="AN5" s="120">
        <v>11</v>
      </c>
      <c r="AO5" s="120">
        <f t="shared" si="6"/>
        <v>0</v>
      </c>
    </row>
    <row r="6" spans="1:41">
      <c r="A6" s="3" t="s">
        <v>90</v>
      </c>
      <c r="B6" s="9" t="s">
        <v>300</v>
      </c>
      <c r="C6" s="10" t="s">
        <v>242</v>
      </c>
      <c r="D6" s="10"/>
      <c r="E6" s="16">
        <v>0.34930555555555554</v>
      </c>
      <c r="F6" s="16">
        <v>0.37287037037037035</v>
      </c>
      <c r="G6" s="16"/>
      <c r="H6" s="4">
        <v>2.4305555555555556E-2</v>
      </c>
      <c r="I6" s="4">
        <v>0.14583333333333334</v>
      </c>
      <c r="J6" s="4">
        <f t="shared" si="7"/>
        <v>2.3564814814814816E-2</v>
      </c>
      <c r="K6" s="4">
        <f t="shared" si="8"/>
        <v>-0.34930555555555554</v>
      </c>
      <c r="L6" s="5">
        <f t="shared" si="2"/>
        <v>30</v>
      </c>
      <c r="M6" s="5">
        <f t="shared" si="3"/>
        <v>20</v>
      </c>
      <c r="N6" s="17">
        <v>4.5</v>
      </c>
      <c r="O6" s="17">
        <v>4.3</v>
      </c>
      <c r="P6" s="17">
        <v>4.5</v>
      </c>
      <c r="Q6" s="17">
        <v>1.2</v>
      </c>
      <c r="R6" s="17">
        <v>3.8</v>
      </c>
      <c r="S6" s="17">
        <v>2.6</v>
      </c>
      <c r="T6" s="17">
        <v>3.1</v>
      </c>
      <c r="U6" s="17">
        <v>2</v>
      </c>
      <c r="V6" s="17">
        <v>0.5</v>
      </c>
      <c r="W6" s="17">
        <v>7</v>
      </c>
      <c r="X6" s="17">
        <v>5</v>
      </c>
      <c r="Y6" s="5">
        <f t="shared" si="0"/>
        <v>88.499999999999986</v>
      </c>
      <c r="Z6" s="108">
        <f t="shared" si="1"/>
        <v>6</v>
      </c>
      <c r="AA6" s="17"/>
      <c r="AB6" s="118">
        <v>14.8</v>
      </c>
      <c r="AC6" s="118">
        <v>15.8</v>
      </c>
      <c r="AD6" s="118">
        <v>15.15</v>
      </c>
      <c r="AE6" s="118">
        <v>13.15</v>
      </c>
      <c r="AF6" s="118"/>
      <c r="AG6" s="119">
        <f t="shared" si="4"/>
        <v>14.725</v>
      </c>
      <c r="AH6" s="118"/>
      <c r="AI6" s="118"/>
      <c r="AJ6" s="118"/>
      <c r="AK6" s="118"/>
      <c r="AL6" s="15"/>
      <c r="AM6" s="14" t="e">
        <f t="shared" si="5"/>
        <v>#DIV/0!</v>
      </c>
      <c r="AN6" s="120">
        <v>11</v>
      </c>
      <c r="AO6" s="120">
        <f t="shared" si="6"/>
        <v>0</v>
      </c>
    </row>
    <row r="7" spans="1:41">
      <c r="A7" s="3" t="s">
        <v>90</v>
      </c>
      <c r="B7" s="92" t="s">
        <v>183</v>
      </c>
      <c r="C7" s="73" t="s">
        <v>243</v>
      </c>
      <c r="D7" s="73"/>
      <c r="E7" s="93">
        <v>0.35000000000000003</v>
      </c>
      <c r="F7" s="93">
        <v>0.36984953703703699</v>
      </c>
      <c r="G7" s="93"/>
      <c r="H7" s="4">
        <v>2.4305555555555556E-2</v>
      </c>
      <c r="I7" s="4">
        <v>0.14583333333333334</v>
      </c>
      <c r="J7" s="94">
        <f t="shared" si="7"/>
        <v>1.9849537037036957E-2</v>
      </c>
      <c r="K7" s="94">
        <f t="shared" si="8"/>
        <v>-0.35000000000000003</v>
      </c>
      <c r="L7" s="5">
        <f t="shared" si="2"/>
        <v>30</v>
      </c>
      <c r="M7" s="5">
        <f t="shared" si="3"/>
        <v>20</v>
      </c>
      <c r="N7" s="74">
        <v>3.1</v>
      </c>
      <c r="O7" s="74">
        <v>3.3</v>
      </c>
      <c r="P7" s="74">
        <v>4</v>
      </c>
      <c r="Q7" s="74">
        <v>0.5</v>
      </c>
      <c r="R7" s="74">
        <v>3</v>
      </c>
      <c r="S7" s="74">
        <v>2.6</v>
      </c>
      <c r="T7" s="74">
        <v>2.7</v>
      </c>
      <c r="U7" s="74">
        <v>1</v>
      </c>
      <c r="V7" s="74">
        <v>0.5</v>
      </c>
      <c r="W7" s="74">
        <v>7</v>
      </c>
      <c r="X7" s="74">
        <v>5</v>
      </c>
      <c r="Y7" s="5">
        <f t="shared" si="0"/>
        <v>82.7</v>
      </c>
      <c r="Z7" s="108">
        <f t="shared" si="1"/>
        <v>7</v>
      </c>
      <c r="AA7" s="74"/>
      <c r="AB7" s="118">
        <v>11.3</v>
      </c>
      <c r="AC7" s="118">
        <v>14.1</v>
      </c>
      <c r="AD7" s="118">
        <v>14.6</v>
      </c>
      <c r="AE7" s="118">
        <v>13.8</v>
      </c>
      <c r="AF7" s="118"/>
      <c r="AG7" s="119">
        <f t="shared" si="4"/>
        <v>13.45</v>
      </c>
      <c r="AH7" s="118"/>
      <c r="AI7" s="118"/>
      <c r="AJ7" s="118"/>
      <c r="AK7" s="118"/>
      <c r="AL7" s="15"/>
      <c r="AM7" s="14" t="e">
        <f t="shared" si="5"/>
        <v>#DIV/0!</v>
      </c>
      <c r="AN7" s="120">
        <v>11</v>
      </c>
      <c r="AO7" s="120">
        <f t="shared" si="6"/>
        <v>0</v>
      </c>
    </row>
    <row r="8" spans="1:41">
      <c r="A8" s="3" t="s">
        <v>90</v>
      </c>
      <c r="B8" s="92" t="s">
        <v>165</v>
      </c>
      <c r="C8" s="73" t="s">
        <v>244</v>
      </c>
      <c r="D8" s="73"/>
      <c r="E8" s="93">
        <v>0.35069444444444442</v>
      </c>
      <c r="F8" s="93">
        <v>0.37060185185185185</v>
      </c>
      <c r="G8" s="93"/>
      <c r="H8" s="4">
        <v>2.4305555555555556E-2</v>
      </c>
      <c r="I8" s="4">
        <v>0.14583333333333334</v>
      </c>
      <c r="J8" s="94">
        <f t="shared" si="7"/>
        <v>1.9907407407407429E-2</v>
      </c>
      <c r="K8" s="94">
        <f t="shared" si="8"/>
        <v>-0.35069444444444442</v>
      </c>
      <c r="L8" s="5">
        <f t="shared" si="2"/>
        <v>30</v>
      </c>
      <c r="M8" s="5">
        <f t="shared" si="3"/>
        <v>20</v>
      </c>
      <c r="N8" s="74">
        <v>4.5</v>
      </c>
      <c r="O8" s="74">
        <v>4.5</v>
      </c>
      <c r="P8" s="74">
        <v>5</v>
      </c>
      <c r="Q8" s="74">
        <v>2.7</v>
      </c>
      <c r="R8" s="74">
        <v>3</v>
      </c>
      <c r="S8" s="74">
        <v>2.4</v>
      </c>
      <c r="T8" s="74">
        <v>3.1</v>
      </c>
      <c r="U8" s="74">
        <v>1.8</v>
      </c>
      <c r="V8" s="74">
        <v>1</v>
      </c>
      <c r="W8" s="74">
        <v>8</v>
      </c>
      <c r="X8" s="74">
        <v>5</v>
      </c>
      <c r="Y8" s="5">
        <f t="shared" si="0"/>
        <v>91</v>
      </c>
      <c r="Z8" s="108">
        <f t="shared" si="1"/>
        <v>5</v>
      </c>
      <c r="AA8" s="74"/>
      <c r="AB8" s="118">
        <v>8.9499999999999993</v>
      </c>
      <c r="AC8" s="118">
        <v>15.25</v>
      </c>
      <c r="AD8" s="118">
        <v>13.95</v>
      </c>
      <c r="AE8" s="118">
        <v>13.7</v>
      </c>
      <c r="AF8" s="118"/>
      <c r="AG8" s="119">
        <f t="shared" si="4"/>
        <v>12.962499999999999</v>
      </c>
      <c r="AH8" s="118"/>
      <c r="AI8" s="118"/>
      <c r="AJ8" s="118"/>
      <c r="AK8" s="118"/>
      <c r="AL8" s="15"/>
      <c r="AM8" s="14" t="e">
        <f t="shared" si="5"/>
        <v>#DIV/0!</v>
      </c>
      <c r="AN8" s="120">
        <v>11</v>
      </c>
      <c r="AO8" s="120">
        <f t="shared" si="6"/>
        <v>0</v>
      </c>
    </row>
    <row r="9" spans="1:41" ht="14.25" thickBot="1">
      <c r="A9" s="63" t="s">
        <v>90</v>
      </c>
      <c r="B9" s="64" t="s">
        <v>180</v>
      </c>
      <c r="C9" s="65" t="s">
        <v>245</v>
      </c>
      <c r="D9" s="65"/>
      <c r="E9" s="66">
        <v>0.35138888888888892</v>
      </c>
      <c r="F9" s="66">
        <v>0.36918981481481478</v>
      </c>
      <c r="G9" s="66"/>
      <c r="H9" s="67">
        <v>2.4305555555555556E-2</v>
      </c>
      <c r="I9" s="67">
        <v>0.14583333333333334</v>
      </c>
      <c r="J9" s="67">
        <f t="shared" si="7"/>
        <v>1.7800925925925859E-2</v>
      </c>
      <c r="K9" s="67">
        <f t="shared" si="8"/>
        <v>-0.35138888888888892</v>
      </c>
      <c r="L9" s="68">
        <f t="shared" si="2"/>
        <v>30</v>
      </c>
      <c r="M9" s="68">
        <f t="shared" si="3"/>
        <v>20</v>
      </c>
      <c r="N9" s="69">
        <v>5</v>
      </c>
      <c r="O9" s="69">
        <v>5</v>
      </c>
      <c r="P9" s="69">
        <v>5</v>
      </c>
      <c r="Q9" s="69">
        <v>3.4</v>
      </c>
      <c r="R9" s="69">
        <v>3.6</v>
      </c>
      <c r="S9" s="69">
        <v>3.8</v>
      </c>
      <c r="T9" s="69">
        <v>3.2</v>
      </c>
      <c r="U9" s="69">
        <v>2</v>
      </c>
      <c r="V9" s="69">
        <v>2</v>
      </c>
      <c r="W9" s="69">
        <v>9</v>
      </c>
      <c r="X9" s="69">
        <v>5</v>
      </c>
      <c r="Y9" s="68">
        <f t="shared" si="0"/>
        <v>97</v>
      </c>
      <c r="Z9" s="109">
        <f t="shared" si="1"/>
        <v>1</v>
      </c>
      <c r="AA9" s="69"/>
      <c r="AB9" s="118">
        <v>14.4</v>
      </c>
      <c r="AC9" s="118">
        <v>10.65</v>
      </c>
      <c r="AD9" s="118">
        <v>9.5</v>
      </c>
      <c r="AE9" s="118">
        <v>13.8</v>
      </c>
      <c r="AF9" s="118"/>
      <c r="AG9" s="119">
        <f t="shared" si="4"/>
        <v>12.087499999999999</v>
      </c>
      <c r="AH9" s="118"/>
      <c r="AI9" s="118"/>
      <c r="AJ9" s="118"/>
      <c r="AK9" s="118"/>
      <c r="AL9" s="15"/>
      <c r="AM9" s="14" t="e">
        <f t="shared" si="5"/>
        <v>#DIV/0!</v>
      </c>
      <c r="AN9" s="120">
        <v>11</v>
      </c>
      <c r="AO9" s="120">
        <f t="shared" si="6"/>
        <v>0</v>
      </c>
    </row>
    <row r="10" spans="1:41">
      <c r="A10" s="8" t="s">
        <v>93</v>
      </c>
      <c r="B10" s="18" t="s">
        <v>229</v>
      </c>
      <c r="C10" s="19" t="s">
        <v>247</v>
      </c>
      <c r="D10" s="19"/>
      <c r="E10" s="20"/>
      <c r="F10" s="20"/>
      <c r="G10" s="20"/>
      <c r="H10" s="21">
        <v>2.4305555555555556E-2</v>
      </c>
      <c r="I10" s="21">
        <v>0.14583333333333334</v>
      </c>
      <c r="J10" s="21">
        <f t="shared" si="7"/>
        <v>0</v>
      </c>
      <c r="K10" s="21">
        <f t="shared" si="8"/>
        <v>0</v>
      </c>
      <c r="L10" s="22">
        <v>0</v>
      </c>
      <c r="M10" s="22">
        <v>0</v>
      </c>
      <c r="N10" s="23">
        <v>2.8</v>
      </c>
      <c r="O10" s="23">
        <v>4.3</v>
      </c>
      <c r="P10" s="23">
        <v>5</v>
      </c>
      <c r="Q10" s="23">
        <v>2.2999999999999998</v>
      </c>
      <c r="R10" s="23">
        <v>2.2000000000000002</v>
      </c>
      <c r="S10" s="23">
        <v>2.6</v>
      </c>
      <c r="T10" s="23">
        <v>2.6</v>
      </c>
      <c r="U10" s="23">
        <v>1.4</v>
      </c>
      <c r="V10" s="23">
        <v>0</v>
      </c>
      <c r="W10" s="23"/>
      <c r="X10" s="23">
        <v>4</v>
      </c>
      <c r="Y10" s="22">
        <f t="shared" si="0"/>
        <v>27.2</v>
      </c>
      <c r="Z10" s="110">
        <f t="shared" ref="Z10:Z20" si="9">RANK(Y10,Y$10:Y$20)</f>
        <v>11</v>
      </c>
      <c r="AA10" s="23" t="s">
        <v>188</v>
      </c>
      <c r="AB10" s="118"/>
      <c r="AC10" s="118"/>
      <c r="AD10" s="118"/>
      <c r="AE10" s="118"/>
      <c r="AF10" s="118"/>
      <c r="AG10" s="119" t="e">
        <f t="shared" si="4"/>
        <v>#DIV/0!</v>
      </c>
      <c r="AH10" s="118"/>
      <c r="AI10" s="118"/>
      <c r="AJ10" s="118"/>
      <c r="AK10" s="118"/>
      <c r="AL10" s="15"/>
      <c r="AM10" s="14" t="e">
        <f t="shared" si="5"/>
        <v>#DIV/0!</v>
      </c>
      <c r="AN10" s="120">
        <v>11</v>
      </c>
      <c r="AO10" s="120">
        <f t="shared" si="6"/>
        <v>0</v>
      </c>
    </row>
    <row r="11" spans="1:41">
      <c r="A11" s="3" t="s">
        <v>93</v>
      </c>
      <c r="B11" s="9" t="s">
        <v>182</v>
      </c>
      <c r="C11" s="10" t="s">
        <v>248</v>
      </c>
      <c r="D11" s="10"/>
      <c r="E11" s="16">
        <v>0.3520833333333333</v>
      </c>
      <c r="F11" s="16">
        <v>0.37158564814814815</v>
      </c>
      <c r="G11" s="16"/>
      <c r="H11" s="4">
        <v>2.4305555555555556E-2</v>
      </c>
      <c r="I11" s="4">
        <v>0.14583333333333334</v>
      </c>
      <c r="J11" s="4">
        <f t="shared" si="7"/>
        <v>1.9502314814814847E-2</v>
      </c>
      <c r="K11" s="4">
        <f t="shared" si="8"/>
        <v>-0.3520833333333333</v>
      </c>
      <c r="L11" s="5">
        <f t="shared" si="2"/>
        <v>30</v>
      </c>
      <c r="M11" s="5">
        <f t="shared" si="3"/>
        <v>20</v>
      </c>
      <c r="N11" s="17">
        <v>3.5</v>
      </c>
      <c r="O11" s="17">
        <v>3.3</v>
      </c>
      <c r="P11" s="17">
        <v>5</v>
      </c>
      <c r="Q11" s="17">
        <v>2</v>
      </c>
      <c r="R11" s="17">
        <v>3.8</v>
      </c>
      <c r="S11" s="17">
        <v>3.4</v>
      </c>
      <c r="T11" s="17">
        <v>2.9</v>
      </c>
      <c r="U11" s="17">
        <v>2</v>
      </c>
      <c r="V11" s="17">
        <v>2</v>
      </c>
      <c r="W11" s="17">
        <v>7</v>
      </c>
      <c r="X11" s="17">
        <v>5</v>
      </c>
      <c r="Y11" s="5">
        <f t="shared" si="0"/>
        <v>89.9</v>
      </c>
      <c r="Z11" s="108">
        <f t="shared" si="9"/>
        <v>7</v>
      </c>
      <c r="AA11" s="17"/>
      <c r="AB11" s="118">
        <v>10.35</v>
      </c>
      <c r="AC11" s="118">
        <v>15.1</v>
      </c>
      <c r="AD11" s="118">
        <v>14.4</v>
      </c>
      <c r="AE11" s="118">
        <v>9.85</v>
      </c>
      <c r="AF11" s="118">
        <v>10.25</v>
      </c>
      <c r="AG11" s="119">
        <f t="shared" si="4"/>
        <v>11.99</v>
      </c>
      <c r="AH11" s="118"/>
      <c r="AI11" s="118"/>
      <c r="AJ11" s="118"/>
      <c r="AK11" s="118"/>
      <c r="AL11" s="15"/>
      <c r="AM11" s="14" t="e">
        <f t="shared" si="5"/>
        <v>#DIV/0!</v>
      </c>
      <c r="AN11" s="120">
        <v>11</v>
      </c>
      <c r="AO11" s="120">
        <f t="shared" si="6"/>
        <v>0</v>
      </c>
    </row>
    <row r="12" spans="1:41">
      <c r="A12" s="3" t="s">
        <v>93</v>
      </c>
      <c r="B12" s="9" t="s">
        <v>165</v>
      </c>
      <c r="C12" s="19" t="s">
        <v>249</v>
      </c>
      <c r="D12" s="10"/>
      <c r="E12" s="16">
        <v>0.3527777777777778</v>
      </c>
      <c r="F12" s="16">
        <v>0.37155092592592592</v>
      </c>
      <c r="G12" s="16"/>
      <c r="H12" s="4">
        <v>2.4305555555555556E-2</v>
      </c>
      <c r="I12" s="4">
        <v>0.14583333333333334</v>
      </c>
      <c r="J12" s="4">
        <f t="shared" si="7"/>
        <v>1.8773148148148122E-2</v>
      </c>
      <c r="K12" s="4">
        <f t="shared" si="8"/>
        <v>-0.3527777777777778</v>
      </c>
      <c r="L12" s="5">
        <f t="shared" si="2"/>
        <v>30</v>
      </c>
      <c r="M12" s="5">
        <f t="shared" si="3"/>
        <v>20</v>
      </c>
      <c r="N12" s="17">
        <v>4.5</v>
      </c>
      <c r="O12" s="17">
        <v>5</v>
      </c>
      <c r="P12" s="17">
        <v>5</v>
      </c>
      <c r="Q12" s="17">
        <v>2.2999999999999998</v>
      </c>
      <c r="R12" s="17">
        <v>2.2000000000000002</v>
      </c>
      <c r="S12" s="17">
        <v>1.6</v>
      </c>
      <c r="T12" s="17">
        <v>2.9</v>
      </c>
      <c r="U12" s="17">
        <v>1.2</v>
      </c>
      <c r="V12" s="17">
        <v>0.5</v>
      </c>
      <c r="W12" s="17">
        <v>4</v>
      </c>
      <c r="X12" s="17">
        <v>5</v>
      </c>
      <c r="Y12" s="5">
        <f t="shared" si="0"/>
        <v>84.2</v>
      </c>
      <c r="Z12" s="108">
        <f t="shared" si="9"/>
        <v>9</v>
      </c>
      <c r="AA12" s="17"/>
      <c r="AB12" s="118">
        <v>11.65</v>
      </c>
      <c r="AC12" s="118">
        <v>12.5</v>
      </c>
      <c r="AD12" s="118">
        <v>12.05</v>
      </c>
      <c r="AE12" s="118">
        <v>12.85</v>
      </c>
      <c r="AF12" s="118"/>
      <c r="AG12" s="119">
        <f t="shared" si="4"/>
        <v>12.262500000000001</v>
      </c>
      <c r="AH12" s="118"/>
      <c r="AI12" s="118"/>
      <c r="AJ12" s="118"/>
      <c r="AK12" s="118"/>
      <c r="AL12" s="15"/>
      <c r="AM12" s="14" t="e">
        <f t="shared" si="5"/>
        <v>#DIV/0!</v>
      </c>
      <c r="AN12" s="120">
        <v>11</v>
      </c>
      <c r="AO12" s="120">
        <f t="shared" si="6"/>
        <v>0</v>
      </c>
    </row>
    <row r="13" spans="1:41">
      <c r="A13" s="3" t="s">
        <v>93</v>
      </c>
      <c r="B13" s="9" t="s">
        <v>301</v>
      </c>
      <c r="C13" s="10" t="s">
        <v>250</v>
      </c>
      <c r="D13" s="10"/>
      <c r="E13" s="16">
        <v>0.35347222222222202</v>
      </c>
      <c r="F13" s="16">
        <v>0.37322916666666667</v>
      </c>
      <c r="G13" s="16"/>
      <c r="H13" s="4">
        <v>2.4305555555555556E-2</v>
      </c>
      <c r="I13" s="4">
        <v>0.14583333333333334</v>
      </c>
      <c r="J13" s="4">
        <f t="shared" si="7"/>
        <v>1.9756944444444646E-2</v>
      </c>
      <c r="K13" s="4">
        <f t="shared" si="8"/>
        <v>-0.35347222222222202</v>
      </c>
      <c r="L13" s="5">
        <f t="shared" si="2"/>
        <v>30</v>
      </c>
      <c r="M13" s="5">
        <f t="shared" si="3"/>
        <v>20</v>
      </c>
      <c r="N13" s="17">
        <v>5</v>
      </c>
      <c r="O13" s="17">
        <v>4.5</v>
      </c>
      <c r="P13" s="17">
        <v>4.5</v>
      </c>
      <c r="Q13" s="17">
        <v>3.5</v>
      </c>
      <c r="R13" s="17">
        <v>4</v>
      </c>
      <c r="S13" s="17">
        <v>3.6</v>
      </c>
      <c r="T13" s="17">
        <v>2.7</v>
      </c>
      <c r="U13" s="17">
        <v>2</v>
      </c>
      <c r="V13" s="17">
        <v>2</v>
      </c>
      <c r="W13" s="17">
        <v>6</v>
      </c>
      <c r="X13" s="17">
        <v>5</v>
      </c>
      <c r="Y13" s="5">
        <f t="shared" si="0"/>
        <v>92.8</v>
      </c>
      <c r="Z13" s="108">
        <f t="shared" si="9"/>
        <v>5</v>
      </c>
      <c r="AA13" s="17"/>
      <c r="AB13" s="118">
        <v>12.6</v>
      </c>
      <c r="AC13" s="118">
        <v>10.65</v>
      </c>
      <c r="AD13" s="118">
        <v>10.85</v>
      </c>
      <c r="AE13" s="118">
        <v>15.45</v>
      </c>
      <c r="AF13" s="118"/>
      <c r="AG13" s="119">
        <f t="shared" si="4"/>
        <v>12.387499999999999</v>
      </c>
      <c r="AH13" s="118"/>
      <c r="AI13" s="118"/>
      <c r="AJ13" s="118"/>
      <c r="AK13" s="118"/>
      <c r="AL13" s="15"/>
      <c r="AM13" s="14" t="e">
        <f t="shared" si="5"/>
        <v>#DIV/0!</v>
      </c>
      <c r="AN13" s="120">
        <v>11</v>
      </c>
      <c r="AO13" s="120">
        <f t="shared" si="6"/>
        <v>0</v>
      </c>
    </row>
    <row r="14" spans="1:41">
      <c r="A14" s="3" t="s">
        <v>93</v>
      </c>
      <c r="B14" s="9" t="s">
        <v>302</v>
      </c>
      <c r="C14" s="19" t="s">
        <v>251</v>
      </c>
      <c r="D14" s="10"/>
      <c r="E14" s="16">
        <v>0.35416666666666702</v>
      </c>
      <c r="F14" s="16">
        <v>0.3759953703703704</v>
      </c>
      <c r="G14" s="16"/>
      <c r="H14" s="4">
        <v>2.4305555555555556E-2</v>
      </c>
      <c r="I14" s="4">
        <v>0.14583333333333334</v>
      </c>
      <c r="J14" s="4">
        <f t="shared" si="7"/>
        <v>2.1828703703703378E-2</v>
      </c>
      <c r="K14" s="4">
        <f t="shared" si="8"/>
        <v>-0.35416666666666702</v>
      </c>
      <c r="L14" s="5">
        <f t="shared" si="2"/>
        <v>30</v>
      </c>
      <c r="M14" s="5">
        <f t="shared" si="3"/>
        <v>20</v>
      </c>
      <c r="N14" s="17">
        <v>4.5</v>
      </c>
      <c r="O14" s="17">
        <v>5</v>
      </c>
      <c r="P14" s="17">
        <v>4</v>
      </c>
      <c r="Q14" s="17">
        <v>1.2</v>
      </c>
      <c r="R14" s="17">
        <v>2.2000000000000002</v>
      </c>
      <c r="S14" s="17">
        <v>1.4</v>
      </c>
      <c r="T14" s="17">
        <v>0.9</v>
      </c>
      <c r="U14" s="17">
        <v>0.4</v>
      </c>
      <c r="V14" s="17">
        <v>1</v>
      </c>
      <c r="W14" s="17">
        <v>5.5</v>
      </c>
      <c r="X14" s="17">
        <v>5</v>
      </c>
      <c r="Y14" s="5">
        <f t="shared" si="0"/>
        <v>81.100000000000023</v>
      </c>
      <c r="Z14" s="108">
        <f t="shared" si="9"/>
        <v>10</v>
      </c>
      <c r="AA14" s="17"/>
      <c r="AB14" s="118">
        <v>14.6</v>
      </c>
      <c r="AC14" s="118">
        <v>12.35</v>
      </c>
      <c r="AD14" s="118">
        <v>12.55</v>
      </c>
      <c r="AE14" s="118"/>
      <c r="AF14" s="118"/>
      <c r="AG14" s="119">
        <f t="shared" si="4"/>
        <v>13.166666666666666</v>
      </c>
      <c r="AH14" s="118"/>
      <c r="AI14" s="118"/>
      <c r="AJ14" s="118"/>
      <c r="AK14" s="118"/>
      <c r="AL14" s="15"/>
      <c r="AM14" s="14" t="e">
        <f t="shared" si="5"/>
        <v>#DIV/0!</v>
      </c>
      <c r="AN14" s="120">
        <v>11</v>
      </c>
      <c r="AO14" s="120">
        <f t="shared" si="6"/>
        <v>0</v>
      </c>
    </row>
    <row r="15" spans="1:41">
      <c r="A15" s="3" t="s">
        <v>93</v>
      </c>
      <c r="B15" s="9" t="s">
        <v>234</v>
      </c>
      <c r="C15" s="10" t="s">
        <v>252</v>
      </c>
      <c r="D15" s="10"/>
      <c r="E15" s="16">
        <v>0.35486111111111102</v>
      </c>
      <c r="F15" s="16">
        <v>0.37695601851851851</v>
      </c>
      <c r="G15" s="16"/>
      <c r="H15" s="4">
        <v>2.4305555555555556E-2</v>
      </c>
      <c r="I15" s="4">
        <v>0.14583333333333334</v>
      </c>
      <c r="J15" s="4">
        <f t="shared" si="7"/>
        <v>2.2094907407407494E-2</v>
      </c>
      <c r="K15" s="4">
        <f t="shared" si="8"/>
        <v>-0.35486111111111102</v>
      </c>
      <c r="L15" s="5">
        <f t="shared" si="2"/>
        <v>30</v>
      </c>
      <c r="M15" s="5">
        <f t="shared" si="3"/>
        <v>20</v>
      </c>
      <c r="N15" s="17">
        <v>4</v>
      </c>
      <c r="O15" s="17">
        <v>4.8</v>
      </c>
      <c r="P15" s="17">
        <v>4.5</v>
      </c>
      <c r="Q15" s="17">
        <v>3.4</v>
      </c>
      <c r="R15" s="17">
        <v>3.2</v>
      </c>
      <c r="S15" s="17">
        <v>3.2</v>
      </c>
      <c r="T15" s="17">
        <v>2.8</v>
      </c>
      <c r="U15" s="17">
        <v>1.6</v>
      </c>
      <c r="V15" s="17">
        <v>2</v>
      </c>
      <c r="W15" s="17">
        <v>9</v>
      </c>
      <c r="X15" s="17">
        <v>5</v>
      </c>
      <c r="Y15" s="5">
        <f t="shared" si="0"/>
        <v>93.5</v>
      </c>
      <c r="Z15" s="108">
        <f t="shared" si="9"/>
        <v>4</v>
      </c>
      <c r="AA15" s="17"/>
      <c r="AB15" s="118">
        <v>14.25</v>
      </c>
      <c r="AC15" s="118">
        <v>14.25</v>
      </c>
      <c r="AD15" s="118">
        <v>12.4</v>
      </c>
      <c r="AE15" s="118">
        <v>11.7</v>
      </c>
      <c r="AF15" s="118"/>
      <c r="AG15" s="119">
        <f t="shared" si="4"/>
        <v>13.149999999999999</v>
      </c>
      <c r="AH15" s="118"/>
      <c r="AI15" s="118"/>
      <c r="AJ15" s="118"/>
      <c r="AK15" s="118"/>
      <c r="AL15" s="15"/>
      <c r="AM15" s="14" t="e">
        <f t="shared" si="5"/>
        <v>#DIV/0!</v>
      </c>
      <c r="AN15" s="120">
        <v>11</v>
      </c>
      <c r="AO15" s="120">
        <f t="shared" si="6"/>
        <v>0</v>
      </c>
    </row>
    <row r="16" spans="1:41">
      <c r="A16" s="3" t="s">
        <v>93</v>
      </c>
      <c r="B16" s="9" t="s">
        <v>233</v>
      </c>
      <c r="C16" s="19" t="s">
        <v>253</v>
      </c>
      <c r="D16" s="10"/>
      <c r="E16" s="16">
        <v>0.35555555555555601</v>
      </c>
      <c r="F16" s="16">
        <v>0.37700231481481478</v>
      </c>
      <c r="G16" s="16"/>
      <c r="H16" s="4">
        <v>2.4305555555555556E-2</v>
      </c>
      <c r="I16" s="4">
        <v>0.14583333333333334</v>
      </c>
      <c r="J16" s="4">
        <f t="shared" si="7"/>
        <v>2.1446759259258763E-2</v>
      </c>
      <c r="K16" s="4">
        <f t="shared" si="8"/>
        <v>-0.35555555555555601</v>
      </c>
      <c r="L16" s="5">
        <f t="shared" si="2"/>
        <v>30</v>
      </c>
      <c r="M16" s="5">
        <f t="shared" si="3"/>
        <v>20</v>
      </c>
      <c r="N16" s="17">
        <v>4.3</v>
      </c>
      <c r="O16" s="17">
        <v>4.5</v>
      </c>
      <c r="P16" s="17">
        <v>5</v>
      </c>
      <c r="Q16" s="17">
        <v>1</v>
      </c>
      <c r="R16" s="17">
        <v>1.6</v>
      </c>
      <c r="S16" s="17">
        <v>3.8</v>
      </c>
      <c r="T16" s="17">
        <v>3</v>
      </c>
      <c r="U16" s="17">
        <v>1</v>
      </c>
      <c r="V16" s="17">
        <v>2</v>
      </c>
      <c r="W16" s="17">
        <v>6</v>
      </c>
      <c r="X16" s="17">
        <v>5</v>
      </c>
      <c r="Y16" s="5">
        <f t="shared" si="0"/>
        <v>87.199999999999989</v>
      </c>
      <c r="Z16" s="108">
        <f t="shared" si="9"/>
        <v>8</v>
      </c>
      <c r="AA16" s="17"/>
      <c r="AB16" s="118">
        <v>15.3</v>
      </c>
      <c r="AC16" s="118">
        <v>14.2</v>
      </c>
      <c r="AD16" s="118">
        <v>11.35</v>
      </c>
      <c r="AE16" s="118"/>
      <c r="AF16" s="118"/>
      <c r="AG16" s="119">
        <f t="shared" si="4"/>
        <v>13.616666666666667</v>
      </c>
      <c r="AH16" s="118"/>
      <c r="AI16" s="118"/>
      <c r="AJ16" s="118"/>
      <c r="AK16" s="118"/>
      <c r="AL16" s="15"/>
      <c r="AM16" s="14" t="e">
        <f t="shared" si="5"/>
        <v>#DIV/0!</v>
      </c>
      <c r="AN16" s="120">
        <v>11</v>
      </c>
      <c r="AO16" s="120">
        <f t="shared" si="6"/>
        <v>0</v>
      </c>
    </row>
    <row r="17" spans="1:41">
      <c r="A17" s="3" t="s">
        <v>93</v>
      </c>
      <c r="B17" s="9" t="s">
        <v>303</v>
      </c>
      <c r="C17" s="10" t="s">
        <v>254</v>
      </c>
      <c r="D17" s="10"/>
      <c r="E17" s="16">
        <v>0.35625000000000001</v>
      </c>
      <c r="F17" s="16">
        <v>0.37846064814814812</v>
      </c>
      <c r="G17" s="16"/>
      <c r="H17" s="4">
        <v>2.4305555555555556E-2</v>
      </c>
      <c r="I17" s="4">
        <v>0.14583333333333334</v>
      </c>
      <c r="J17" s="4">
        <f t="shared" si="7"/>
        <v>2.2210648148148104E-2</v>
      </c>
      <c r="K17" s="4">
        <f t="shared" si="8"/>
        <v>-0.35625000000000001</v>
      </c>
      <c r="L17" s="5">
        <f t="shared" si="2"/>
        <v>30</v>
      </c>
      <c r="M17" s="5">
        <f t="shared" si="3"/>
        <v>20</v>
      </c>
      <c r="N17" s="17">
        <v>3.6</v>
      </c>
      <c r="O17" s="17">
        <v>4</v>
      </c>
      <c r="P17" s="17">
        <v>5</v>
      </c>
      <c r="Q17" s="17">
        <v>1.9</v>
      </c>
      <c r="R17" s="17">
        <v>4</v>
      </c>
      <c r="S17" s="17">
        <v>3.4</v>
      </c>
      <c r="T17" s="17">
        <v>3.4</v>
      </c>
      <c r="U17" s="17">
        <v>1.6</v>
      </c>
      <c r="V17" s="17">
        <v>1.5</v>
      </c>
      <c r="W17" s="17">
        <v>8</v>
      </c>
      <c r="X17" s="17">
        <v>5</v>
      </c>
      <c r="Y17" s="5">
        <f t="shared" si="0"/>
        <v>91.4</v>
      </c>
      <c r="Z17" s="108">
        <f t="shared" si="9"/>
        <v>6</v>
      </c>
      <c r="AA17" s="17"/>
      <c r="AB17" s="118">
        <v>14.8</v>
      </c>
      <c r="AC17" s="118">
        <v>13.9</v>
      </c>
      <c r="AD17" s="118">
        <v>14.25</v>
      </c>
      <c r="AE17" s="118"/>
      <c r="AF17" s="118"/>
      <c r="AG17" s="119">
        <f t="shared" si="4"/>
        <v>14.316666666666668</v>
      </c>
      <c r="AH17" s="118"/>
      <c r="AI17" s="118"/>
      <c r="AJ17" s="118"/>
      <c r="AK17" s="118"/>
      <c r="AL17" s="15"/>
      <c r="AM17" s="14" t="e">
        <f t="shared" si="5"/>
        <v>#DIV/0!</v>
      </c>
      <c r="AN17" s="120">
        <v>11</v>
      </c>
      <c r="AO17" s="120">
        <f t="shared" si="6"/>
        <v>0</v>
      </c>
    </row>
    <row r="18" spans="1:41">
      <c r="A18" s="3" t="s">
        <v>93</v>
      </c>
      <c r="B18" s="9" t="s">
        <v>304</v>
      </c>
      <c r="C18" s="19" t="s">
        <v>255</v>
      </c>
      <c r="D18" s="10"/>
      <c r="E18" s="16">
        <v>0.35694444444444501</v>
      </c>
      <c r="F18" s="16">
        <v>0.37608796296296299</v>
      </c>
      <c r="G18" s="16"/>
      <c r="H18" s="4">
        <v>2.4305555555555556E-2</v>
      </c>
      <c r="I18" s="4">
        <v>0.14583333333333334</v>
      </c>
      <c r="J18" s="4">
        <f t="shared" si="7"/>
        <v>1.9143518518517977E-2</v>
      </c>
      <c r="K18" s="4">
        <f t="shared" si="8"/>
        <v>-0.35694444444444501</v>
      </c>
      <c r="L18" s="5">
        <f t="shared" si="2"/>
        <v>30</v>
      </c>
      <c r="M18" s="5">
        <f t="shared" si="3"/>
        <v>20</v>
      </c>
      <c r="N18" s="17">
        <v>4.5</v>
      </c>
      <c r="O18" s="17">
        <v>5</v>
      </c>
      <c r="P18" s="17">
        <v>5</v>
      </c>
      <c r="Q18" s="17">
        <v>3.6</v>
      </c>
      <c r="R18" s="17">
        <v>4</v>
      </c>
      <c r="S18" s="17">
        <v>3.8</v>
      </c>
      <c r="T18" s="17">
        <v>3.5</v>
      </c>
      <c r="U18" s="17">
        <v>2</v>
      </c>
      <c r="V18" s="17">
        <v>2</v>
      </c>
      <c r="W18" s="17">
        <v>10</v>
      </c>
      <c r="X18" s="17">
        <v>5</v>
      </c>
      <c r="Y18" s="5">
        <f t="shared" si="0"/>
        <v>98.399999999999991</v>
      </c>
      <c r="Z18" s="108">
        <f t="shared" si="9"/>
        <v>2</v>
      </c>
      <c r="AA18" s="17"/>
      <c r="AB18" s="118">
        <v>19.649999999999999</v>
      </c>
      <c r="AC18" s="118">
        <v>12.35</v>
      </c>
      <c r="AD18" s="118">
        <v>10</v>
      </c>
      <c r="AE18" s="118">
        <v>9.5500000000000007</v>
      </c>
      <c r="AF18" s="118">
        <v>12.95</v>
      </c>
      <c r="AG18" s="119">
        <f t="shared" si="4"/>
        <v>12.9</v>
      </c>
      <c r="AH18" s="118"/>
      <c r="AI18" s="118"/>
      <c r="AJ18" s="118"/>
      <c r="AK18" s="118"/>
      <c r="AL18" s="15"/>
      <c r="AM18" s="14" t="e">
        <f t="shared" si="5"/>
        <v>#DIV/0!</v>
      </c>
      <c r="AN18" s="120">
        <v>11</v>
      </c>
      <c r="AO18" s="120">
        <f t="shared" si="6"/>
        <v>0</v>
      </c>
    </row>
    <row r="19" spans="1:41">
      <c r="A19" s="3" t="s">
        <v>93</v>
      </c>
      <c r="B19" s="9" t="s">
        <v>305</v>
      </c>
      <c r="C19" s="10" t="s">
        <v>256</v>
      </c>
      <c r="D19" s="10"/>
      <c r="E19" s="16">
        <v>0.35763888888888901</v>
      </c>
      <c r="F19" s="16">
        <v>0.37576388888888884</v>
      </c>
      <c r="G19" s="16"/>
      <c r="H19" s="4">
        <v>2.4305555555555556E-2</v>
      </c>
      <c r="I19" s="4">
        <v>0.14583333333333334</v>
      </c>
      <c r="J19" s="4">
        <f t="shared" si="7"/>
        <v>1.8124999999999836E-2</v>
      </c>
      <c r="K19" s="4">
        <f t="shared" si="8"/>
        <v>-0.35763888888888901</v>
      </c>
      <c r="L19" s="5">
        <f t="shared" si="2"/>
        <v>30</v>
      </c>
      <c r="M19" s="5">
        <f t="shared" si="3"/>
        <v>20</v>
      </c>
      <c r="N19" s="17">
        <v>5</v>
      </c>
      <c r="O19" s="17">
        <v>5</v>
      </c>
      <c r="P19" s="17">
        <v>5</v>
      </c>
      <c r="Q19" s="17">
        <v>3.9</v>
      </c>
      <c r="R19" s="17">
        <v>3.8</v>
      </c>
      <c r="S19" s="17">
        <v>3.6</v>
      </c>
      <c r="T19" s="17">
        <v>4</v>
      </c>
      <c r="U19" s="17">
        <v>2</v>
      </c>
      <c r="V19" s="17">
        <v>2</v>
      </c>
      <c r="W19" s="17">
        <v>10</v>
      </c>
      <c r="X19" s="17">
        <v>5</v>
      </c>
      <c r="Y19" s="5">
        <f t="shared" si="0"/>
        <v>99.3</v>
      </c>
      <c r="Z19" s="108">
        <f t="shared" si="9"/>
        <v>1</v>
      </c>
      <c r="AA19" s="17"/>
      <c r="AB19" s="118">
        <v>12.05</v>
      </c>
      <c r="AC19" s="118">
        <v>12.25</v>
      </c>
      <c r="AD19" s="118">
        <v>13.25</v>
      </c>
      <c r="AE19" s="118">
        <v>13</v>
      </c>
      <c r="AF19" s="118"/>
      <c r="AG19" s="119">
        <f t="shared" si="4"/>
        <v>12.637499999999999</v>
      </c>
      <c r="AH19" s="118"/>
      <c r="AI19" s="118"/>
      <c r="AJ19" s="118"/>
      <c r="AK19" s="118"/>
      <c r="AL19" s="15"/>
      <c r="AM19" s="14" t="e">
        <f t="shared" si="5"/>
        <v>#DIV/0!</v>
      </c>
      <c r="AN19" s="120">
        <v>11</v>
      </c>
      <c r="AO19" s="120">
        <f t="shared" si="6"/>
        <v>0</v>
      </c>
    </row>
    <row r="20" spans="1:41" ht="14.25" thickBot="1">
      <c r="A20" s="3" t="s">
        <v>93</v>
      </c>
      <c r="B20" s="9" t="s">
        <v>306</v>
      </c>
      <c r="C20" s="19" t="s">
        <v>257</v>
      </c>
      <c r="D20" s="10"/>
      <c r="E20" s="16">
        <v>0.358333333333334</v>
      </c>
      <c r="F20" s="16">
        <v>0.37707175925925923</v>
      </c>
      <c r="G20" s="16"/>
      <c r="H20" s="4">
        <v>2.4305555555555556E-2</v>
      </c>
      <c r="I20" s="4">
        <v>0.14583333333333334</v>
      </c>
      <c r="J20" s="4">
        <f t="shared" si="7"/>
        <v>1.8738425925925228E-2</v>
      </c>
      <c r="K20" s="4">
        <f t="shared" si="8"/>
        <v>-0.358333333333334</v>
      </c>
      <c r="L20" s="5">
        <f t="shared" si="2"/>
        <v>30</v>
      </c>
      <c r="M20" s="5">
        <f t="shared" si="3"/>
        <v>20</v>
      </c>
      <c r="N20" s="17">
        <v>5</v>
      </c>
      <c r="O20" s="17">
        <v>5</v>
      </c>
      <c r="P20" s="17">
        <v>5</v>
      </c>
      <c r="Q20" s="17">
        <v>2.6</v>
      </c>
      <c r="R20" s="17">
        <v>4</v>
      </c>
      <c r="S20" s="17">
        <v>3.8</v>
      </c>
      <c r="T20" s="17">
        <v>3.5</v>
      </c>
      <c r="U20" s="17">
        <v>1.6</v>
      </c>
      <c r="V20" s="17">
        <v>2</v>
      </c>
      <c r="W20" s="17">
        <v>10</v>
      </c>
      <c r="X20" s="17">
        <v>5</v>
      </c>
      <c r="Y20" s="5">
        <f t="shared" si="0"/>
        <v>97.499999999999986</v>
      </c>
      <c r="Z20" s="108">
        <f t="shared" si="9"/>
        <v>3</v>
      </c>
      <c r="AA20" s="17"/>
      <c r="AB20" s="118">
        <v>9.3000000000000007</v>
      </c>
      <c r="AC20" s="118">
        <v>9.15</v>
      </c>
      <c r="AD20" s="118">
        <v>7.4</v>
      </c>
      <c r="AE20" s="118">
        <v>14.5</v>
      </c>
      <c r="AF20" s="118">
        <v>19.55</v>
      </c>
      <c r="AG20" s="119">
        <f t="shared" si="4"/>
        <v>11.98</v>
      </c>
      <c r="AH20" s="118"/>
      <c r="AI20" s="118"/>
      <c r="AJ20" s="118"/>
      <c r="AK20" s="118"/>
      <c r="AL20" s="15"/>
      <c r="AM20" s="14" t="e">
        <f t="shared" si="5"/>
        <v>#DIV/0!</v>
      </c>
      <c r="AN20" s="120">
        <v>11</v>
      </c>
      <c r="AO20" s="120">
        <f t="shared" si="6"/>
        <v>0</v>
      </c>
    </row>
    <row r="21" spans="1:41" ht="14.25" thickTop="1">
      <c r="A21" s="101" t="s">
        <v>91</v>
      </c>
      <c r="B21" s="102" t="s">
        <v>287</v>
      </c>
      <c r="C21" s="103" t="s">
        <v>197</v>
      </c>
      <c r="D21" s="103"/>
      <c r="E21" s="104">
        <v>0.35902777777777778</v>
      </c>
      <c r="F21" s="104">
        <v>0.38675925925925925</v>
      </c>
      <c r="G21" s="104"/>
      <c r="H21" s="105">
        <v>3.125E-2</v>
      </c>
      <c r="I21" s="105">
        <v>0.16666666666666666</v>
      </c>
      <c r="J21" s="105">
        <f t="shared" si="7"/>
        <v>2.7731481481481468E-2</v>
      </c>
      <c r="K21" s="105">
        <f t="shared" si="8"/>
        <v>-0.35902777777777778</v>
      </c>
      <c r="L21" s="106">
        <f t="shared" si="2"/>
        <v>30</v>
      </c>
      <c r="M21" s="106">
        <f t="shared" si="3"/>
        <v>20</v>
      </c>
      <c r="N21" s="107">
        <v>4.8</v>
      </c>
      <c r="O21" s="107">
        <v>5</v>
      </c>
      <c r="P21" s="107">
        <v>5</v>
      </c>
      <c r="Q21" s="107">
        <v>2.4</v>
      </c>
      <c r="R21" s="107">
        <v>2.6</v>
      </c>
      <c r="S21" s="107">
        <v>3.6</v>
      </c>
      <c r="T21" s="107">
        <v>3.6</v>
      </c>
      <c r="U21" s="107">
        <v>2</v>
      </c>
      <c r="V21" s="107">
        <v>1.5</v>
      </c>
      <c r="W21" s="107">
        <v>7.5</v>
      </c>
      <c r="X21" s="107">
        <v>5</v>
      </c>
      <c r="Y21" s="106">
        <f t="shared" si="0"/>
        <v>92.999999999999986</v>
      </c>
      <c r="Z21" s="111">
        <f>RANK(Y21,$Y$21:$Y$25)</f>
        <v>2</v>
      </c>
      <c r="AA21" s="107"/>
      <c r="AB21" s="118">
        <v>13.5</v>
      </c>
      <c r="AC21" s="118">
        <v>11.6</v>
      </c>
      <c r="AD21" s="118">
        <v>10.3</v>
      </c>
      <c r="AE21" s="118">
        <v>11.85</v>
      </c>
      <c r="AF21" s="118"/>
      <c r="AG21" s="119">
        <f t="shared" si="4"/>
        <v>11.812500000000002</v>
      </c>
      <c r="AH21" s="118"/>
      <c r="AI21" s="118"/>
      <c r="AJ21" s="118"/>
      <c r="AK21" s="118"/>
      <c r="AL21" s="15"/>
      <c r="AM21" s="14" t="e">
        <f t="shared" si="5"/>
        <v>#DIV/0!</v>
      </c>
      <c r="AN21" s="120">
        <v>11</v>
      </c>
      <c r="AO21" s="120">
        <f t="shared" si="6"/>
        <v>0</v>
      </c>
    </row>
    <row r="22" spans="1:41">
      <c r="A22" s="3" t="s">
        <v>91</v>
      </c>
      <c r="B22" s="9" t="s">
        <v>146</v>
      </c>
      <c r="C22" s="10" t="s">
        <v>198</v>
      </c>
      <c r="D22" s="10"/>
      <c r="E22" s="16">
        <v>0.35972222222222222</v>
      </c>
      <c r="F22" s="16">
        <v>0.39070601851851849</v>
      </c>
      <c r="G22" s="16"/>
      <c r="H22" s="4">
        <v>3.125E-2</v>
      </c>
      <c r="I22" s="4">
        <v>0.16666666666666666</v>
      </c>
      <c r="J22" s="4">
        <f t="shared" si="7"/>
        <v>3.0983796296296273E-2</v>
      </c>
      <c r="K22" s="4">
        <f t="shared" si="8"/>
        <v>-0.35972222222222222</v>
      </c>
      <c r="L22" s="5">
        <f t="shared" si="2"/>
        <v>30</v>
      </c>
      <c r="M22" s="5">
        <f t="shared" si="3"/>
        <v>20</v>
      </c>
      <c r="N22" s="17">
        <v>5</v>
      </c>
      <c r="O22" s="17">
        <v>4.5</v>
      </c>
      <c r="P22" s="17">
        <v>5</v>
      </c>
      <c r="Q22" s="17">
        <v>3.1</v>
      </c>
      <c r="R22" s="17">
        <v>3.2</v>
      </c>
      <c r="S22" s="17">
        <v>3.8</v>
      </c>
      <c r="T22" s="17">
        <v>3.2</v>
      </c>
      <c r="U22" s="17">
        <v>2</v>
      </c>
      <c r="V22" s="17">
        <v>1</v>
      </c>
      <c r="W22" s="17">
        <v>7</v>
      </c>
      <c r="X22" s="17">
        <v>5</v>
      </c>
      <c r="Y22" s="5">
        <f t="shared" si="0"/>
        <v>92.8</v>
      </c>
      <c r="Z22" s="108">
        <f>RANK(Y22,$Y$21:$Y$25)</f>
        <v>3</v>
      </c>
      <c r="AA22" s="17"/>
      <c r="AB22" s="118">
        <v>12.65</v>
      </c>
      <c r="AC22" s="118">
        <v>12.15</v>
      </c>
      <c r="AD22" s="118">
        <v>12.7</v>
      </c>
      <c r="AE22" s="118">
        <v>12.7</v>
      </c>
      <c r="AF22" s="118"/>
      <c r="AG22" s="119">
        <f t="shared" si="4"/>
        <v>12.55</v>
      </c>
      <c r="AH22" s="118"/>
      <c r="AI22" s="118"/>
      <c r="AJ22" s="118"/>
      <c r="AK22" s="118"/>
      <c r="AL22" s="15"/>
      <c r="AM22" s="14" t="e">
        <f t="shared" si="5"/>
        <v>#DIV/0!</v>
      </c>
      <c r="AN22" s="120">
        <v>11</v>
      </c>
      <c r="AO22" s="120">
        <f t="shared" si="6"/>
        <v>0</v>
      </c>
    </row>
    <row r="23" spans="1:41">
      <c r="A23" s="3" t="s">
        <v>91</v>
      </c>
      <c r="B23" s="92" t="s">
        <v>227</v>
      </c>
      <c r="C23" s="19" t="s">
        <v>199</v>
      </c>
      <c r="D23" s="73"/>
      <c r="E23" s="93">
        <v>0.36041666666666666</v>
      </c>
      <c r="F23" s="93">
        <v>0.38517361111111109</v>
      </c>
      <c r="G23" s="93"/>
      <c r="H23" s="4">
        <v>3.125E-2</v>
      </c>
      <c r="I23" s="4">
        <v>0.16666666666666666</v>
      </c>
      <c r="J23" s="4">
        <f>F23-E23</f>
        <v>2.4756944444444429E-2</v>
      </c>
      <c r="K23" s="4">
        <f>G23-E23</f>
        <v>-0.36041666666666666</v>
      </c>
      <c r="L23" s="5">
        <f t="shared" si="2"/>
        <v>30</v>
      </c>
      <c r="M23" s="5">
        <f t="shared" si="3"/>
        <v>20</v>
      </c>
      <c r="N23" s="74">
        <v>5</v>
      </c>
      <c r="O23" s="74">
        <v>4.5</v>
      </c>
      <c r="P23" s="74">
        <v>5</v>
      </c>
      <c r="Q23" s="74">
        <v>3.9</v>
      </c>
      <c r="R23" s="74">
        <v>3.8</v>
      </c>
      <c r="S23" s="74">
        <v>4</v>
      </c>
      <c r="T23" s="74">
        <v>3.3</v>
      </c>
      <c r="U23" s="74">
        <v>2</v>
      </c>
      <c r="V23" s="74">
        <v>2</v>
      </c>
      <c r="W23" s="74">
        <v>9</v>
      </c>
      <c r="X23" s="74">
        <v>5</v>
      </c>
      <c r="Y23" s="5">
        <f t="shared" si="0"/>
        <v>97.5</v>
      </c>
      <c r="Z23" s="108">
        <f>RANK(Y23,$Y$21:$Y$25)</f>
        <v>1</v>
      </c>
      <c r="AA23" s="74"/>
      <c r="AB23" s="118">
        <v>11.65</v>
      </c>
      <c r="AC23" s="118">
        <v>12.1</v>
      </c>
      <c r="AD23" s="118">
        <v>12.65</v>
      </c>
      <c r="AE23" s="118">
        <v>12.65</v>
      </c>
      <c r="AF23" s="118"/>
      <c r="AG23" s="119">
        <f t="shared" si="4"/>
        <v>12.262499999999999</v>
      </c>
      <c r="AH23" s="118"/>
      <c r="AI23" s="118"/>
      <c r="AJ23" s="118"/>
      <c r="AK23" s="118"/>
      <c r="AL23" s="15"/>
      <c r="AM23" s="14" t="e">
        <f t="shared" si="5"/>
        <v>#DIV/0!</v>
      </c>
      <c r="AN23" s="120">
        <v>11</v>
      </c>
      <c r="AO23" s="120">
        <f t="shared" si="6"/>
        <v>0</v>
      </c>
    </row>
    <row r="24" spans="1:41">
      <c r="A24" s="3" t="s">
        <v>91</v>
      </c>
      <c r="B24" s="92" t="s">
        <v>140</v>
      </c>
      <c r="C24" s="10" t="s">
        <v>200</v>
      </c>
      <c r="D24" s="73"/>
      <c r="E24" s="93">
        <v>0.3611111111111111</v>
      </c>
      <c r="F24" s="93">
        <v>0.39111111111111113</v>
      </c>
      <c r="G24" s="93"/>
      <c r="H24" s="4">
        <v>3.125E-2</v>
      </c>
      <c r="I24" s="4">
        <v>0.16666666666666666</v>
      </c>
      <c r="J24" s="4">
        <f>F24-E24</f>
        <v>3.0000000000000027E-2</v>
      </c>
      <c r="K24" s="4">
        <f>G24-E24</f>
        <v>-0.3611111111111111</v>
      </c>
      <c r="L24" s="5">
        <f t="shared" si="2"/>
        <v>30</v>
      </c>
      <c r="M24" s="5">
        <f t="shared" si="3"/>
        <v>20</v>
      </c>
      <c r="N24" s="74">
        <v>5</v>
      </c>
      <c r="O24" s="74">
        <v>4.5</v>
      </c>
      <c r="P24" s="74">
        <v>5</v>
      </c>
      <c r="Q24" s="74">
        <v>2.2000000000000002</v>
      </c>
      <c r="R24" s="74">
        <v>3.2</v>
      </c>
      <c r="S24" s="74">
        <v>2.8</v>
      </c>
      <c r="T24" s="74">
        <v>3.3</v>
      </c>
      <c r="U24" s="74">
        <v>2</v>
      </c>
      <c r="V24" s="74">
        <v>2</v>
      </c>
      <c r="W24" s="74">
        <v>6</v>
      </c>
      <c r="X24" s="74">
        <v>5</v>
      </c>
      <c r="Y24" s="5">
        <f t="shared" si="0"/>
        <v>91</v>
      </c>
      <c r="Z24" s="108">
        <f>RANK(Y24,$Y$21:$Y$25)</f>
        <v>4</v>
      </c>
      <c r="AA24" s="74"/>
      <c r="AB24" s="118">
        <v>17.55</v>
      </c>
      <c r="AC24" s="118">
        <v>6.6</v>
      </c>
      <c r="AD24" s="118">
        <v>8.6</v>
      </c>
      <c r="AE24" s="118">
        <v>15.15</v>
      </c>
      <c r="AF24" s="118"/>
      <c r="AG24" s="119">
        <f t="shared" si="4"/>
        <v>11.975</v>
      </c>
      <c r="AH24" s="118"/>
      <c r="AI24" s="118"/>
      <c r="AJ24" s="118"/>
      <c r="AK24" s="118"/>
      <c r="AL24" s="15"/>
      <c r="AM24" s="14" t="e">
        <f t="shared" si="5"/>
        <v>#DIV/0!</v>
      </c>
      <c r="AN24" s="120">
        <v>11</v>
      </c>
      <c r="AO24" s="120">
        <f t="shared" si="6"/>
        <v>0</v>
      </c>
    </row>
    <row r="25" spans="1:41" ht="14.25" thickBot="1">
      <c r="A25" s="63" t="s">
        <v>91</v>
      </c>
      <c r="B25" s="64" t="s">
        <v>165</v>
      </c>
      <c r="C25" s="65" t="s">
        <v>201</v>
      </c>
      <c r="D25" s="65"/>
      <c r="E25" s="66">
        <v>0.36180555555555555</v>
      </c>
      <c r="F25" s="66">
        <v>0.39140046296296299</v>
      </c>
      <c r="G25" s="66"/>
      <c r="H25" s="67">
        <v>3.125E-2</v>
      </c>
      <c r="I25" s="67">
        <v>0.16666666666666666</v>
      </c>
      <c r="J25" s="67">
        <f t="shared" si="7"/>
        <v>2.9594907407407445E-2</v>
      </c>
      <c r="K25" s="67">
        <f t="shared" si="8"/>
        <v>-0.36180555555555555</v>
      </c>
      <c r="L25" s="68">
        <f t="shared" si="2"/>
        <v>30</v>
      </c>
      <c r="M25" s="68">
        <f t="shared" si="3"/>
        <v>20</v>
      </c>
      <c r="N25" s="69">
        <v>4.3</v>
      </c>
      <c r="O25" s="69">
        <v>5</v>
      </c>
      <c r="P25" s="69">
        <v>5</v>
      </c>
      <c r="Q25" s="69">
        <v>1.5</v>
      </c>
      <c r="R25" s="69">
        <v>3.6</v>
      </c>
      <c r="S25" s="69">
        <v>2.8</v>
      </c>
      <c r="T25" s="69">
        <v>3.6</v>
      </c>
      <c r="U25" s="69">
        <v>1.8</v>
      </c>
      <c r="V25" s="69">
        <v>1</v>
      </c>
      <c r="W25" s="69">
        <v>6.5</v>
      </c>
      <c r="X25" s="69">
        <v>5</v>
      </c>
      <c r="Y25" s="68">
        <f t="shared" si="0"/>
        <v>90.09999999999998</v>
      </c>
      <c r="Z25" s="109">
        <f>RANK(Y25,$Y$21:$Y$25)</f>
        <v>5</v>
      </c>
      <c r="AA25" s="69"/>
      <c r="AB25" s="118">
        <v>12.55</v>
      </c>
      <c r="AC25" s="118">
        <v>10.35</v>
      </c>
      <c r="AD25" s="118">
        <v>11.35</v>
      </c>
      <c r="AE25" s="118">
        <v>13.15</v>
      </c>
      <c r="AF25" s="118"/>
      <c r="AG25" s="119">
        <f t="shared" si="4"/>
        <v>11.85</v>
      </c>
      <c r="AH25" s="118"/>
      <c r="AI25" s="118"/>
      <c r="AJ25" s="118"/>
      <c r="AK25" s="118"/>
      <c r="AL25" s="15"/>
      <c r="AM25" s="14" t="e">
        <f t="shared" si="5"/>
        <v>#DIV/0!</v>
      </c>
      <c r="AN25" s="120">
        <v>11</v>
      </c>
      <c r="AO25" s="120">
        <f t="shared" si="6"/>
        <v>0</v>
      </c>
    </row>
    <row r="26" spans="1:41">
      <c r="A26" s="8" t="s">
        <v>110</v>
      </c>
      <c r="B26" s="18" t="s">
        <v>307</v>
      </c>
      <c r="C26" s="19" t="s">
        <v>210</v>
      </c>
      <c r="D26" s="19"/>
      <c r="E26" s="20">
        <v>0.36249999999999999</v>
      </c>
      <c r="F26" s="20">
        <v>0.38571759259259258</v>
      </c>
      <c r="G26" s="20"/>
      <c r="H26" s="21">
        <v>3.125E-2</v>
      </c>
      <c r="I26" s="21">
        <v>0.16666666666666666</v>
      </c>
      <c r="J26" s="21">
        <f t="shared" si="7"/>
        <v>2.3217592592592595E-2</v>
      </c>
      <c r="K26" s="21">
        <f t="shared" si="8"/>
        <v>-0.36249999999999999</v>
      </c>
      <c r="L26" s="22">
        <f t="shared" si="2"/>
        <v>30</v>
      </c>
      <c r="M26" s="22">
        <f t="shared" si="3"/>
        <v>20</v>
      </c>
      <c r="N26" s="23">
        <v>5</v>
      </c>
      <c r="O26" s="23">
        <v>4.5</v>
      </c>
      <c r="P26" s="23">
        <v>5</v>
      </c>
      <c r="Q26" s="23">
        <v>3.9</v>
      </c>
      <c r="R26" s="23">
        <v>4</v>
      </c>
      <c r="S26" s="23">
        <v>3.6</v>
      </c>
      <c r="T26" s="23">
        <v>3.8</v>
      </c>
      <c r="U26" s="23">
        <v>2</v>
      </c>
      <c r="V26" s="23">
        <v>2</v>
      </c>
      <c r="W26" s="23">
        <v>10</v>
      </c>
      <c r="X26" s="23">
        <v>5</v>
      </c>
      <c r="Y26" s="22">
        <f t="shared" si="0"/>
        <v>98.8</v>
      </c>
      <c r="Z26" s="110">
        <f>RANK(Y26,$Y$26:$Y$30)</f>
        <v>1</v>
      </c>
      <c r="AA26" s="23"/>
      <c r="AB26" s="118">
        <v>11.2</v>
      </c>
      <c r="AC26" s="118">
        <v>11.8</v>
      </c>
      <c r="AD26" s="118">
        <v>11.55</v>
      </c>
      <c r="AE26" s="118">
        <v>12.1</v>
      </c>
      <c r="AF26" s="118"/>
      <c r="AG26" s="119">
        <f t="shared" si="4"/>
        <v>11.6625</v>
      </c>
      <c r="AH26" s="118"/>
      <c r="AI26" s="118"/>
      <c r="AJ26" s="118"/>
      <c r="AK26" s="118"/>
      <c r="AL26" s="15"/>
      <c r="AM26" s="14" t="e">
        <f t="shared" si="5"/>
        <v>#DIV/0!</v>
      </c>
      <c r="AN26" s="120">
        <v>11</v>
      </c>
      <c r="AO26" s="120">
        <f t="shared" si="6"/>
        <v>0</v>
      </c>
    </row>
    <row r="27" spans="1:41">
      <c r="A27" s="3" t="s">
        <v>110</v>
      </c>
      <c r="B27" s="9" t="s">
        <v>308</v>
      </c>
      <c r="C27" s="10" t="s">
        <v>211</v>
      </c>
      <c r="D27" s="10"/>
      <c r="E27" s="16">
        <v>0.36319444444444443</v>
      </c>
      <c r="F27" s="16">
        <v>0.3923611111111111</v>
      </c>
      <c r="G27" s="16"/>
      <c r="H27" s="4">
        <v>3.125E-2</v>
      </c>
      <c r="I27" s="4">
        <v>0.16666666666666666</v>
      </c>
      <c r="J27" s="4">
        <f t="shared" si="7"/>
        <v>2.9166666666666674E-2</v>
      </c>
      <c r="K27" s="4">
        <f t="shared" si="8"/>
        <v>-0.36319444444444443</v>
      </c>
      <c r="L27" s="5">
        <f t="shared" si="2"/>
        <v>30</v>
      </c>
      <c r="M27" s="5">
        <f t="shared" si="3"/>
        <v>20</v>
      </c>
      <c r="N27" s="17">
        <v>5</v>
      </c>
      <c r="O27" s="17">
        <v>4.5</v>
      </c>
      <c r="P27" s="17">
        <v>5</v>
      </c>
      <c r="Q27" s="17">
        <v>2.1</v>
      </c>
      <c r="R27" s="17">
        <v>3</v>
      </c>
      <c r="S27" s="17">
        <v>3.2</v>
      </c>
      <c r="T27" s="17">
        <v>3.4</v>
      </c>
      <c r="U27" s="17">
        <v>1.4</v>
      </c>
      <c r="V27" s="17">
        <v>1.5</v>
      </c>
      <c r="W27" s="17">
        <v>7</v>
      </c>
      <c r="X27" s="17">
        <v>5</v>
      </c>
      <c r="Y27" s="5">
        <f t="shared" si="0"/>
        <v>91.100000000000009</v>
      </c>
      <c r="Z27" s="108">
        <f>RANK(Y27,$Y$26:$Y$30)</f>
        <v>4</v>
      </c>
      <c r="AA27" s="17"/>
      <c r="AB27" s="118">
        <v>14.65</v>
      </c>
      <c r="AC27" s="118">
        <v>13.8</v>
      </c>
      <c r="AD27" s="118">
        <v>12.75</v>
      </c>
      <c r="AE27" s="118">
        <v>12.3</v>
      </c>
      <c r="AF27" s="118"/>
      <c r="AG27" s="119">
        <f t="shared" si="4"/>
        <v>13.375</v>
      </c>
      <c r="AH27" s="118"/>
      <c r="AI27" s="118"/>
      <c r="AJ27" s="118"/>
      <c r="AK27" s="118"/>
      <c r="AL27" s="15"/>
      <c r="AM27" s="14" t="e">
        <f t="shared" si="5"/>
        <v>#DIV/0!</v>
      </c>
      <c r="AN27" s="120">
        <v>11</v>
      </c>
      <c r="AO27" s="120">
        <f t="shared" si="6"/>
        <v>0</v>
      </c>
    </row>
    <row r="28" spans="1:41">
      <c r="A28" s="3" t="s">
        <v>110</v>
      </c>
      <c r="B28" s="9" t="s">
        <v>287</v>
      </c>
      <c r="C28" s="19" t="s">
        <v>212</v>
      </c>
      <c r="D28" s="10"/>
      <c r="E28" s="16">
        <v>0.36388888888888887</v>
      </c>
      <c r="F28" s="16">
        <v>0.39326388888888886</v>
      </c>
      <c r="G28" s="16"/>
      <c r="H28" s="4">
        <v>3.125E-2</v>
      </c>
      <c r="I28" s="4">
        <v>0.16666666666666666</v>
      </c>
      <c r="J28" s="4">
        <f t="shared" si="7"/>
        <v>2.9374999999999984E-2</v>
      </c>
      <c r="K28" s="4">
        <f t="shared" si="8"/>
        <v>-0.36388888888888887</v>
      </c>
      <c r="L28" s="5">
        <f t="shared" si="2"/>
        <v>30</v>
      </c>
      <c r="M28" s="5">
        <f t="shared" si="3"/>
        <v>20</v>
      </c>
      <c r="N28" s="17">
        <v>4.5</v>
      </c>
      <c r="O28" s="17">
        <v>4.3</v>
      </c>
      <c r="P28" s="17">
        <v>3</v>
      </c>
      <c r="Q28" s="17">
        <v>1.9</v>
      </c>
      <c r="R28" s="17">
        <v>3</v>
      </c>
      <c r="S28" s="17">
        <v>1.8</v>
      </c>
      <c r="T28" s="17">
        <v>1.8</v>
      </c>
      <c r="U28" s="17">
        <v>1.8</v>
      </c>
      <c r="V28" s="17">
        <v>2</v>
      </c>
      <c r="W28" s="17">
        <v>8</v>
      </c>
      <c r="X28" s="17">
        <v>3.5</v>
      </c>
      <c r="Y28" s="5">
        <f t="shared" si="0"/>
        <v>85.59999999999998</v>
      </c>
      <c r="Z28" s="108">
        <f>RANK(Y28,$Y$26:$Y$30)</f>
        <v>5</v>
      </c>
      <c r="AA28" s="17"/>
      <c r="AB28" s="118">
        <v>10.8</v>
      </c>
      <c r="AC28" s="118">
        <v>11.25</v>
      </c>
      <c r="AD28" s="118">
        <v>12</v>
      </c>
      <c r="AE28" s="118">
        <v>14.4</v>
      </c>
      <c r="AF28" s="118"/>
      <c r="AG28" s="119">
        <f t="shared" si="4"/>
        <v>12.112499999999999</v>
      </c>
      <c r="AH28" s="118"/>
      <c r="AI28" s="118"/>
      <c r="AJ28" s="118"/>
      <c r="AK28" s="118"/>
      <c r="AL28" s="15"/>
      <c r="AM28" s="14" t="e">
        <f t="shared" si="5"/>
        <v>#DIV/0!</v>
      </c>
      <c r="AN28" s="120">
        <v>11</v>
      </c>
      <c r="AO28" s="120">
        <f t="shared" si="6"/>
        <v>0</v>
      </c>
    </row>
    <row r="29" spans="1:41">
      <c r="A29" s="3" t="s">
        <v>110</v>
      </c>
      <c r="B29" s="9" t="s">
        <v>309</v>
      </c>
      <c r="C29" s="10" t="s">
        <v>217</v>
      </c>
      <c r="D29" s="10"/>
      <c r="E29" s="16">
        <v>0.36458333333333331</v>
      </c>
      <c r="F29" s="16">
        <v>0.39340277777777777</v>
      </c>
      <c r="G29" s="16"/>
      <c r="H29" s="4">
        <v>3.125E-2</v>
      </c>
      <c r="I29" s="4">
        <v>0.16666666666666666</v>
      </c>
      <c r="J29" s="4">
        <f t="shared" si="7"/>
        <v>2.8819444444444453E-2</v>
      </c>
      <c r="K29" s="4">
        <f t="shared" si="8"/>
        <v>-0.36458333333333331</v>
      </c>
      <c r="L29" s="5">
        <f t="shared" si="2"/>
        <v>30</v>
      </c>
      <c r="M29" s="5">
        <f t="shared" si="3"/>
        <v>20</v>
      </c>
      <c r="N29" s="17">
        <v>5</v>
      </c>
      <c r="O29" s="17">
        <v>4.5</v>
      </c>
      <c r="P29" s="17">
        <v>5</v>
      </c>
      <c r="Q29" s="17">
        <v>3.3</v>
      </c>
      <c r="R29" s="17">
        <v>3</v>
      </c>
      <c r="S29" s="17">
        <v>3.6</v>
      </c>
      <c r="T29" s="17">
        <v>3.6</v>
      </c>
      <c r="U29" s="17">
        <v>2</v>
      </c>
      <c r="V29" s="17">
        <v>1.5</v>
      </c>
      <c r="W29" s="17">
        <v>8</v>
      </c>
      <c r="X29" s="17">
        <v>5</v>
      </c>
      <c r="Y29" s="5">
        <f t="shared" si="0"/>
        <v>94.499999999999986</v>
      </c>
      <c r="Z29" s="108">
        <f>RANK(Y29,$Y$26:$Y$30)</f>
        <v>2</v>
      </c>
      <c r="AA29" s="17"/>
      <c r="AB29" s="118">
        <v>11.95</v>
      </c>
      <c r="AC29" s="118">
        <v>11.65</v>
      </c>
      <c r="AD29" s="118">
        <v>11.5</v>
      </c>
      <c r="AE29" s="118">
        <v>12.9</v>
      </c>
      <c r="AF29" s="118">
        <v>13.25</v>
      </c>
      <c r="AG29" s="119">
        <f t="shared" si="4"/>
        <v>12.25</v>
      </c>
      <c r="AH29" s="118"/>
      <c r="AI29" s="118"/>
      <c r="AJ29" s="118"/>
      <c r="AK29" s="118"/>
      <c r="AL29" s="15"/>
      <c r="AM29" s="14" t="e">
        <f t="shared" si="5"/>
        <v>#DIV/0!</v>
      </c>
      <c r="AN29" s="120">
        <v>11</v>
      </c>
      <c r="AO29" s="120">
        <f t="shared" si="6"/>
        <v>0</v>
      </c>
    </row>
    <row r="30" spans="1:41">
      <c r="A30" s="3" t="s">
        <v>110</v>
      </c>
      <c r="B30" s="9" t="s">
        <v>310</v>
      </c>
      <c r="C30" s="19" t="s">
        <v>291</v>
      </c>
      <c r="D30" s="10"/>
      <c r="E30" s="16">
        <v>0.36527777777777781</v>
      </c>
      <c r="F30" s="16">
        <v>0.39152777777777775</v>
      </c>
      <c r="G30" s="16"/>
      <c r="H30" s="4">
        <v>3.125E-2</v>
      </c>
      <c r="I30" s="4">
        <v>0.16666666666666666</v>
      </c>
      <c r="J30" s="4">
        <f t="shared" si="7"/>
        <v>2.624999999999994E-2</v>
      </c>
      <c r="K30" s="4">
        <f t="shared" si="8"/>
        <v>-0.36527777777777781</v>
      </c>
      <c r="L30" s="5">
        <f t="shared" si="2"/>
        <v>30</v>
      </c>
      <c r="M30" s="5">
        <f t="shared" si="3"/>
        <v>20</v>
      </c>
      <c r="N30" s="17">
        <v>4.3</v>
      </c>
      <c r="O30" s="17">
        <v>4.5</v>
      </c>
      <c r="P30" s="17">
        <v>5</v>
      </c>
      <c r="Q30" s="17">
        <v>2.5</v>
      </c>
      <c r="R30" s="17">
        <v>3.2</v>
      </c>
      <c r="S30" s="17">
        <v>3.8</v>
      </c>
      <c r="T30" s="17">
        <v>3.5</v>
      </c>
      <c r="U30" s="17">
        <v>1.8</v>
      </c>
      <c r="V30" s="17">
        <v>1.5</v>
      </c>
      <c r="W30" s="17">
        <v>8</v>
      </c>
      <c r="X30" s="17">
        <v>5</v>
      </c>
      <c r="Y30" s="5">
        <f t="shared" si="0"/>
        <v>93.1</v>
      </c>
      <c r="Z30" s="108">
        <f>RANK(Y30,$Y$26:$Y$30)</f>
        <v>3</v>
      </c>
      <c r="AA30" s="17"/>
      <c r="AB30" s="118">
        <v>11.85</v>
      </c>
      <c r="AC30" s="118">
        <v>11.5</v>
      </c>
      <c r="AD30" s="118">
        <v>11.8</v>
      </c>
      <c r="AE30" s="118">
        <v>14.3</v>
      </c>
      <c r="AF30" s="118"/>
      <c r="AG30" s="119">
        <f t="shared" si="4"/>
        <v>12.362500000000001</v>
      </c>
      <c r="AH30" s="118"/>
      <c r="AI30" s="118"/>
      <c r="AJ30" s="118"/>
      <c r="AK30" s="118"/>
      <c r="AL30" s="15"/>
      <c r="AM30" s="14" t="e">
        <f t="shared" si="5"/>
        <v>#DIV/0!</v>
      </c>
      <c r="AN30" s="120">
        <v>11</v>
      </c>
      <c r="AO30" s="120">
        <f t="shared" si="6"/>
        <v>0</v>
      </c>
    </row>
    <row r="31" spans="1:41" s="6" customFormat="1">
      <c r="B31" s="11"/>
      <c r="C31" s="49"/>
      <c r="D31" s="49"/>
      <c r="E31" s="13"/>
      <c r="F31" s="13"/>
      <c r="G31" s="13"/>
      <c r="H31" s="13"/>
      <c r="I31" s="13"/>
      <c r="J31" s="13"/>
      <c r="K31" s="13"/>
      <c r="L31" s="50"/>
      <c r="M31" s="50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41" s="6" customFormat="1">
      <c r="B32" s="11" t="s">
        <v>121</v>
      </c>
      <c r="C32" s="49"/>
      <c r="D32" s="49"/>
      <c r="E32" s="13"/>
      <c r="F32" s="13"/>
      <c r="G32" s="13"/>
      <c r="H32" s="13"/>
      <c r="I32" s="13"/>
      <c r="J32" s="13"/>
      <c r="K32" s="13"/>
      <c r="L32" s="50"/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2:26" s="6" customFormat="1">
      <c r="B33" s="11" t="s">
        <v>167</v>
      </c>
      <c r="C33" s="49"/>
      <c r="D33" s="49"/>
      <c r="E33" s="13"/>
      <c r="F33" s="13"/>
      <c r="G33" s="13"/>
      <c r="H33" s="13"/>
      <c r="I33" s="13"/>
      <c r="J33" s="13"/>
      <c r="K33" s="13"/>
      <c r="L33" s="51">
        <f>MAX(L3:L30)</f>
        <v>30</v>
      </c>
      <c r="M33" s="51">
        <f>MAX(M3:M30)</f>
        <v>20</v>
      </c>
      <c r="N33" s="51">
        <f t="shared" ref="N33:Y33" si="10">MAX(N3:N30)</f>
        <v>5</v>
      </c>
      <c r="O33" s="51">
        <f t="shared" si="10"/>
        <v>5</v>
      </c>
      <c r="P33" s="51">
        <f t="shared" si="10"/>
        <v>5</v>
      </c>
      <c r="Q33" s="51">
        <f t="shared" si="10"/>
        <v>3.9</v>
      </c>
      <c r="R33" s="51">
        <f t="shared" si="10"/>
        <v>4</v>
      </c>
      <c r="S33" s="51">
        <f t="shared" si="10"/>
        <v>4</v>
      </c>
      <c r="T33" s="51">
        <f t="shared" si="10"/>
        <v>4</v>
      </c>
      <c r="U33" s="51">
        <f t="shared" si="10"/>
        <v>2</v>
      </c>
      <c r="V33" s="51">
        <f t="shared" si="10"/>
        <v>2</v>
      </c>
      <c r="W33" s="51">
        <f t="shared" si="10"/>
        <v>10</v>
      </c>
      <c r="X33" s="51">
        <f t="shared" si="10"/>
        <v>5</v>
      </c>
      <c r="Y33" s="51">
        <f t="shared" si="10"/>
        <v>99.3</v>
      </c>
      <c r="Z33" s="51"/>
    </row>
    <row r="34" spans="2:26" s="6" customFormat="1">
      <c r="B34" s="11" t="s">
        <v>168</v>
      </c>
      <c r="C34" s="49"/>
      <c r="D34" s="49"/>
      <c r="E34" s="13"/>
      <c r="F34" s="13"/>
      <c r="G34" s="13"/>
      <c r="H34" s="13"/>
      <c r="I34" s="13"/>
      <c r="J34" s="13"/>
      <c r="K34" s="13"/>
      <c r="L34" s="51">
        <f>MIN(L3:L30)</f>
        <v>0</v>
      </c>
      <c r="M34" s="51">
        <f>MIN(M3:M30)</f>
        <v>0</v>
      </c>
      <c r="N34" s="51">
        <f t="shared" ref="N34:Y34" si="11">MIN(N3:N30)</f>
        <v>2.8</v>
      </c>
      <c r="O34" s="51">
        <f t="shared" si="11"/>
        <v>3.3</v>
      </c>
      <c r="P34" s="51">
        <f t="shared" si="11"/>
        <v>3</v>
      </c>
      <c r="Q34" s="51">
        <f t="shared" si="11"/>
        <v>0.5</v>
      </c>
      <c r="R34" s="51">
        <f t="shared" si="11"/>
        <v>1.6</v>
      </c>
      <c r="S34" s="51">
        <f t="shared" si="11"/>
        <v>1.4</v>
      </c>
      <c r="T34" s="51">
        <f t="shared" si="11"/>
        <v>0.9</v>
      </c>
      <c r="U34" s="51">
        <f t="shared" si="11"/>
        <v>0.4</v>
      </c>
      <c r="V34" s="51">
        <f t="shared" si="11"/>
        <v>0</v>
      </c>
      <c r="W34" s="51">
        <f t="shared" si="11"/>
        <v>4</v>
      </c>
      <c r="X34" s="51">
        <f t="shared" si="11"/>
        <v>3.5</v>
      </c>
      <c r="Y34" s="51">
        <f t="shared" si="11"/>
        <v>27.2</v>
      </c>
      <c r="Z34" s="51"/>
    </row>
    <row r="35" spans="2:26" s="6" customFormat="1">
      <c r="B35" s="11" t="s">
        <v>166</v>
      </c>
      <c r="C35" s="49"/>
      <c r="D35" s="49"/>
      <c r="E35" s="13"/>
      <c r="F35" s="13"/>
      <c r="G35" s="13"/>
      <c r="H35" s="13"/>
      <c r="I35" s="13"/>
      <c r="J35" s="13"/>
      <c r="K35" s="13"/>
      <c r="L35" s="51">
        <f>AVERAGE(L3:L30)</f>
        <v>28.928571428571427</v>
      </c>
      <c r="M35" s="51">
        <f>AVERAGE(M3:M30)</f>
        <v>19.285714285714285</v>
      </c>
      <c r="N35" s="51">
        <f t="shared" ref="N35:Y35" si="12">AVERAGE(N3:N30)</f>
        <v>4.4892857142857139</v>
      </c>
      <c r="O35" s="51">
        <f t="shared" si="12"/>
        <v>4.5464285714285717</v>
      </c>
      <c r="P35" s="51">
        <f t="shared" si="12"/>
        <v>4.8035714285714288</v>
      </c>
      <c r="Q35" s="51">
        <f t="shared" si="12"/>
        <v>2.5357142857142856</v>
      </c>
      <c r="R35" s="51">
        <f t="shared" si="12"/>
        <v>3.2642857142857147</v>
      </c>
      <c r="S35" s="51">
        <f t="shared" si="12"/>
        <v>3.149999999999999</v>
      </c>
      <c r="T35" s="51">
        <f t="shared" si="12"/>
        <v>3.1321428571428567</v>
      </c>
      <c r="U35" s="51">
        <f t="shared" si="12"/>
        <v>1.7071428571428569</v>
      </c>
      <c r="V35" s="51">
        <f t="shared" si="12"/>
        <v>1.5178571428571428</v>
      </c>
      <c r="W35" s="51">
        <f t="shared" si="12"/>
        <v>7.7222222222222223</v>
      </c>
      <c r="X35" s="51">
        <f t="shared" si="12"/>
        <v>4.9107142857142856</v>
      </c>
      <c r="Y35" s="51">
        <f t="shared" si="12"/>
        <v>89.717857142857142</v>
      </c>
      <c r="Z35" s="51"/>
    </row>
    <row r="36" spans="2:26" s="6" customFormat="1">
      <c r="B36" s="11" t="s">
        <v>179</v>
      </c>
      <c r="C36" s="49"/>
      <c r="D36" s="49"/>
      <c r="E36" s="13"/>
      <c r="F36" s="13"/>
      <c r="G36" s="13"/>
      <c r="H36" s="13"/>
      <c r="I36" s="13"/>
      <c r="J36" s="13"/>
      <c r="K36" s="13"/>
      <c r="L36" s="71">
        <f>L35/L2</f>
        <v>0.96428571428571419</v>
      </c>
      <c r="M36" s="71">
        <f>M35/M2</f>
        <v>0.96428571428571419</v>
      </c>
      <c r="N36" s="71">
        <f t="shared" ref="N36:Y36" si="13">N35/N2</f>
        <v>0.8978571428571428</v>
      </c>
      <c r="O36" s="71">
        <f t="shared" si="13"/>
        <v>0.90928571428571436</v>
      </c>
      <c r="P36" s="71">
        <f t="shared" si="13"/>
        <v>0.96071428571428574</v>
      </c>
      <c r="Q36" s="71">
        <f t="shared" si="13"/>
        <v>0.6339285714285714</v>
      </c>
      <c r="R36" s="71">
        <f t="shared" si="13"/>
        <v>0.81607142857142867</v>
      </c>
      <c r="S36" s="71">
        <f t="shared" si="13"/>
        <v>0.78749999999999976</v>
      </c>
      <c r="T36" s="71">
        <f t="shared" si="13"/>
        <v>0.78303571428571417</v>
      </c>
      <c r="U36" s="71">
        <f t="shared" si="13"/>
        <v>0.85357142857142843</v>
      </c>
      <c r="V36" s="71">
        <f t="shared" si="13"/>
        <v>0.7589285714285714</v>
      </c>
      <c r="W36" s="71">
        <f t="shared" si="13"/>
        <v>0.77222222222222225</v>
      </c>
      <c r="X36" s="71">
        <f t="shared" si="13"/>
        <v>0.9821428571428571</v>
      </c>
      <c r="Y36" s="71">
        <f t="shared" si="13"/>
        <v>0.89717857142857138</v>
      </c>
      <c r="Z36" s="71"/>
    </row>
    <row r="37" spans="2:26" s="6" customFormat="1">
      <c r="B37" s="11"/>
      <c r="C37" s="49"/>
      <c r="D37" s="49"/>
      <c r="E37" s="13"/>
      <c r="F37" s="13"/>
      <c r="G37" s="13"/>
      <c r="H37" s="13"/>
      <c r="I37" s="13"/>
      <c r="J37" s="13"/>
      <c r="K37" s="13"/>
      <c r="L37" s="50"/>
      <c r="M37" s="50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2:26" s="6" customFormat="1">
      <c r="B38" s="11"/>
      <c r="C38" s="49"/>
      <c r="D38" s="49"/>
      <c r="E38" s="13"/>
      <c r="F38" s="13"/>
      <c r="G38" s="13"/>
      <c r="H38" s="13"/>
      <c r="I38" s="13"/>
      <c r="J38" s="13"/>
      <c r="K38" s="13"/>
      <c r="L38" s="50"/>
      <c r="M38" s="50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</sheetData>
  <phoneticPr fontId="2"/>
  <conditionalFormatting sqref="AG3:AG30 AN3:AN30">
    <cfRule type="cellIs" dxfId="0" priority="2" stopIfTrue="1" operator="lessThan">
      <formula>11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2004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print</vt:lpstr>
      <vt:lpstr>'2004'!Print_Area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</vt:vector>
  </TitlesOfParts>
  <Company>広島県教育委員会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</dc:creator>
  <cp:lastModifiedBy>USER</cp:lastModifiedBy>
  <cp:lastPrinted>2015-09-06T04:27:30Z</cp:lastPrinted>
  <dcterms:created xsi:type="dcterms:W3CDTF">2004-06-05T07:51:55Z</dcterms:created>
  <dcterms:modified xsi:type="dcterms:W3CDTF">2015-09-07T08:33:01Z</dcterms:modified>
</cp:coreProperties>
</file>